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585" windowHeight="9720" activeTab="3"/>
  </bookViews>
  <sheets>
    <sheet name="Inleiding" sheetId="1" r:id="rId1"/>
    <sheet name="Mijn gegevens" sheetId="2" r:id="rId2"/>
    <sheet name="Mijn verlof" sheetId="3" r:id="rId3"/>
    <sheet name="Sparen in tijd of in geld" sheetId="4" r:id="rId4"/>
    <sheet name="Mijn spaartegoed" sheetId="5" r:id="rId5"/>
    <sheet name="Toelichting" sheetId="6" r:id="rId6"/>
    <sheet name="Rekenblad" sheetId="7" state="hidden" r:id="rId7"/>
    <sheet name="maatman" sheetId="8" state="hidden" r:id="rId8"/>
    <sheet name="Tabel_totaalrecht" sheetId="9" state="hidden" r:id="rId9"/>
    <sheet name="Tabel_basisrecht" sheetId="10" state="hidden" r:id="rId10"/>
    <sheet name="Tabel_overgangsrecht" sheetId="11" state="hidden" r:id="rId11"/>
    <sheet name="carriere" sheetId="12" state="hidden" r:id="rId12"/>
    <sheet name="Leeftijdsgrenzen" sheetId="13" state="hidden" r:id="rId13"/>
  </sheets>
  <externalReferences>
    <externalReference r:id="rId16"/>
    <externalReference r:id="rId17"/>
    <externalReference r:id="rId18"/>
  </externalReferences>
  <definedNames>
    <definedName name="Aanbieder_vrij_te_kiezen?">'Sparen in tijd of in geld'!$B$42</definedName>
    <definedName name="_xlnm.Print_Area" localSheetId="8">'Tabel_totaalrecht'!$A$1:$V$55</definedName>
    <definedName name="_xlnm.Print_Titles" localSheetId="8">'Tabel_totaalrecht'!$A:$A,'Tabel_totaalrecht'!$1:$5</definedName>
    <definedName name="Basis_Levensfasebudget">'Toelichting'!$B$3</definedName>
    <definedName name="Boven_later_extra_vrije_tijd">'Sparen in tijd of in geld'!$A$5</definedName>
    <definedName name="Contracturen">'Toelichting'!$B$27</definedName>
    <definedName name="Dan_komt_u_mogelijk_in_aanmerking_voor_een_overgangsregeling._Let_Op__U_hoeft_hiervoor_niet_op_1_januari_2009_bij_uw_huidige_werkgever_in__dienst_te_zijn_geweest._Was_u_bij_een_ander_GGZ_werkgever_aan_het_werk_op_1_januari_2009__voldoet_u_ook_aan_deze_voo">'Toelichting'!$B$5</definedName>
    <definedName name="Extra_levensfasebudget_in_2010">'Toelichting'!#REF!</definedName>
    <definedName name="Fiscaal_voordeel_later_extra_vrije_tijd">'Sparen in tijd of in geld'!$B$31</definedName>
    <definedName name="Garantie_1">'Toelichting'!$B$5</definedName>
    <definedName name="Garantie_2">'Toelichting'!$B$7</definedName>
    <definedName name="Garantie_3">'Toelichting'!$B$9</definedName>
    <definedName name="Garantie_4">'Toelichting'!$B$13</definedName>
    <definedName name="Gevolgen_voor_het_inkomen">'Sparen in tijd of in geld'!$B$50</definedName>
    <definedName name="Inleg_later_extra_vrije_tijd">'Sparen in tijd of in geld'!$B$36</definedName>
    <definedName name="Inzet_levensloop">'Sparen in tijd of in geld'!#REF!</definedName>
    <definedName name="Inzet_spaarloon">'[2]... geld sparen'!$D$28</definedName>
    <definedName name="Jaarsalaris">'Rekenblad'!#REF!</definedName>
    <definedName name="loonontwikkeling">'[1]invoer_parameters'!$C$128</definedName>
    <definedName name="maatmaninterest">'[1]invoer_parameters'!$C$135</definedName>
    <definedName name="maatmanloonontwikkeling">'[1]invoer_parameters'!$C$133</definedName>
    <definedName name="maatmanOPlftd">'[1]invoer_parameters'!$C$137</definedName>
    <definedName name="Mee_te_nemen_naar_een_andere_werkgever?">'Sparen in tijd of in geld'!$B$40</definedName>
    <definedName name="ovg5054" localSheetId="8">'[3]invoer_parameters'!#REF!</definedName>
    <definedName name="ovg5054">'[1]invoer_parameters'!#REF!</definedName>
    <definedName name="Pensioen">'Sparen in tijd of in geld'!$B$46</definedName>
    <definedName name="Rente">'Toelichting'!$B$21</definedName>
    <definedName name="Salaris">'Toelichting'!$B$29</definedName>
    <definedName name="Sociale_zekerheid">'Sparen in tijd of in geld'!$B$44</definedName>
    <definedName name="startovg">'[1]invoer_parameters'!$C$107</definedName>
    <definedName name="tabelafbouwll">'[1]invoer_parameters'!$B$35:$D$45</definedName>
    <definedName name="tabelovg">'[1]invoer_parameters'!$B$77:$F$90</definedName>
    <definedName name="tabelovgbonden">'[1]invoer_parameters'!$B$108:$F$116</definedName>
    <definedName name="tabelovgiedereen">'[1]invoer_parameters'!$B$58:$D$68</definedName>
    <definedName name="tabelstd">'[1]invoer_parameters'!$B$20:$D$30</definedName>
    <definedName name="tabelstdbonden">'[1]invoer_parameters'!$B$97:$D$101</definedName>
    <definedName name="tabelstduren" localSheetId="8">'[3]invoer_parameters'!#REF!</definedName>
    <definedName name="tabelstduren">'[1]invoer_parameters'!#REF!</definedName>
    <definedName name="uurloon">'[1]invoer_parameters'!$C$119</definedName>
    <definedName name="Vorm_later_extra_vrije_tijd">'Sparen in tijd of in geld'!$B$33</definedName>
    <definedName name="Vrij_besteedbaar_later_extra_vrije_tijd">'Sparen in tijd of in geld'!#REF!</definedName>
    <definedName name="Waardevastheid">'Sparen in tijd of in geld'!$B$48</definedName>
    <definedName name="Ziektekosten_verzekering">'Sparen in tijd of in geld'!$B$52</definedName>
    <definedName name="ziekteverzuim">'[1]invoer_parameters'!$C$5</definedName>
  </definedNames>
  <calcPr fullCalcOnLoad="1"/>
</workbook>
</file>

<file path=xl/comments11.xml><?xml version="1.0" encoding="utf-8"?>
<comments xmlns="http://schemas.openxmlformats.org/spreadsheetml/2006/main">
  <authors>
    <author>VEOF</author>
  </authors>
  <commentList>
    <comment ref="B45" authorId="0">
      <text>
        <r>
          <rPr>
            <b/>
            <sz val="10"/>
            <rFont val="Tahoma"/>
            <family val="0"/>
          </rPr>
          <t>VEOF:</t>
        </r>
        <r>
          <rPr>
            <sz val="10"/>
            <rFont val="Tahoma"/>
            <family val="0"/>
          </rPr>
          <t xml:space="preserve">
Naar rato van het aantal maanden nog geen 55 -&gt;basis recht + naar rato wel 55 -&gt; overgangsrecht.</t>
        </r>
      </text>
    </comment>
  </commentList>
</comments>
</file>

<file path=xl/comments7.xml><?xml version="1.0" encoding="utf-8"?>
<comments xmlns="http://schemas.openxmlformats.org/spreadsheetml/2006/main">
  <authors>
    <author>O.F. Verbaas</author>
  </authors>
  <commentList>
    <comment ref="A2" authorId="0">
      <text>
        <r>
          <rPr>
            <b/>
            <sz val="8"/>
            <rFont val="Tahoma"/>
            <family val="0"/>
          </rPr>
          <t>O.F. Verbaas:</t>
        </r>
        <r>
          <rPr>
            <sz val="8"/>
            <rFont val="Tahoma"/>
            <family val="0"/>
          </rPr>
          <t xml:space="preserve">
Deze datum kan worden gebruikt om de actuele datum te manipuleren t.b.v. de demo.
In het overgangsrecht heb je bij voorbeeld pas recht op extra LFB wanneer je na 31-12-2009 55 jaar wordt</t>
        </r>
      </text>
    </comment>
  </commentList>
</comments>
</file>

<file path=xl/comments8.xml><?xml version="1.0" encoding="utf-8"?>
<comments xmlns="http://schemas.openxmlformats.org/spreadsheetml/2006/main">
  <authors>
    <author>O.F. Verbaas</author>
  </authors>
  <commentList>
    <comment ref="H21" authorId="0">
      <text>
        <r>
          <rPr>
            <b/>
            <sz val="8"/>
            <rFont val="Tahoma"/>
            <family val="0"/>
          </rPr>
          <t>O.F. Verbaas:</t>
        </r>
        <r>
          <rPr>
            <sz val="8"/>
            <rFont val="Tahoma"/>
            <family val="0"/>
          </rPr>
          <t xml:space="preserve">
=VERT.ZOEKEN($C21;'invoer_huidig CAO-verlof'!B5:K54;9)
</t>
        </r>
      </text>
    </comment>
    <comment ref="C13" authorId="0">
      <text>
        <r>
          <rPr>
            <b/>
            <sz val="8"/>
            <rFont val="Tahoma"/>
            <family val="0"/>
          </rPr>
          <t>O.F. Verbaas:</t>
        </r>
        <r>
          <rPr>
            <sz val="8"/>
            <rFont val="Tahoma"/>
            <family val="0"/>
          </rPr>
          <t xml:space="preserve">
Om de berekening van de netto waarden op nul te houden wanneer velden niet zijn ingevuld</t>
        </r>
      </text>
    </comment>
    <comment ref="J20" authorId="0">
      <text>
        <r>
          <rPr>
            <b/>
            <sz val="8"/>
            <rFont val="Tahoma"/>
            <family val="0"/>
          </rPr>
          <t>O.F. Verbaas:</t>
        </r>
        <r>
          <rPr>
            <sz val="8"/>
            <rFont val="Tahoma"/>
            <family val="0"/>
          </rPr>
          <t xml:space="preserve">
Hoe af te ronden?</t>
        </r>
      </text>
    </comment>
  </commentList>
</comments>
</file>

<file path=xl/sharedStrings.xml><?xml version="1.0" encoding="utf-8"?>
<sst xmlns="http://schemas.openxmlformats.org/spreadsheetml/2006/main" count="347" uniqueCount="242">
  <si>
    <t>Basisverlof</t>
  </si>
  <si>
    <t>Totaal</t>
  </si>
  <si>
    <t>(Zie opmerking)</t>
  </si>
  <si>
    <t>Geboortedatum</t>
  </si>
  <si>
    <t xml:space="preserve">Uw geboortedatum </t>
  </si>
  <si>
    <t>(dd-mm-jjjj)</t>
  </si>
  <si>
    <t>Het aantal contracturen per week</t>
  </si>
  <si>
    <t>volgens uw loonstrook</t>
  </si>
  <si>
    <t>uur</t>
  </si>
  <si>
    <t>zoals op uw loonstrook staat</t>
  </si>
  <si>
    <t>Leeftijdberekeningen</t>
  </si>
  <si>
    <t>Maanden in dienst</t>
  </si>
  <si>
    <t>Maanden in dienst/12</t>
  </si>
  <si>
    <t>Duur dienstverband</t>
  </si>
  <si>
    <t>Aantal maanden 55</t>
  </si>
  <si>
    <t>Leeftijd</t>
  </si>
  <si>
    <t>Leeftijd in lopend jaar</t>
  </si>
  <si>
    <t>Diensttijd berekening</t>
  </si>
  <si>
    <t>Leeftijd op 31-12-2009</t>
  </si>
  <si>
    <t>(peildatum)</t>
  </si>
  <si>
    <t>Basisgegevens</t>
  </si>
  <si>
    <t>Fulltimenorm</t>
  </si>
  <si>
    <t>Deeltijdfactor</t>
  </si>
  <si>
    <t>Uren per week</t>
  </si>
  <si>
    <t>Overgangsrecht</t>
  </si>
  <si>
    <t>Datum in dienst</t>
  </si>
  <si>
    <t>Datum vandaag</t>
  </si>
  <si>
    <t>Bekeningsdatum</t>
  </si>
  <si>
    <t>(Deze datum wordt in de berekeningen gehateerd als de actuele datum)</t>
  </si>
  <si>
    <t>Was u in dienst bij een GGZ werkgever</t>
  </si>
  <si>
    <t>op 1 januari 2009?</t>
  </si>
  <si>
    <t>Werkzaam in GGZ op 01-01-09?</t>
  </si>
  <si>
    <t>10 jaar werkzaam in Z&amp;W?</t>
  </si>
  <si>
    <t>Maakt u gebruik van de oude 55+ regeling?</t>
  </si>
  <si>
    <t>Oude 55-plusregeling?</t>
  </si>
  <si>
    <t>%</t>
  </si>
  <si>
    <t>Invoergegevens</t>
  </si>
  <si>
    <t>Bruto maandsalaris</t>
  </si>
  <si>
    <t>Berekende basisgegevens</t>
  </si>
  <si>
    <t>Levensloop</t>
  </si>
  <si>
    <t>Kenmerken</t>
  </si>
  <si>
    <t>Fiscaal voordeel?</t>
  </si>
  <si>
    <t>ü</t>
  </si>
  <si>
    <t>û</t>
  </si>
  <si>
    <t>Vorm</t>
  </si>
  <si>
    <t>tijd</t>
  </si>
  <si>
    <t>Inleg gemaximeerd?</t>
  </si>
  <si>
    <t>ja</t>
  </si>
  <si>
    <t>Mee te nemen naar een</t>
  </si>
  <si>
    <t>andere werkgever?</t>
  </si>
  <si>
    <t>Aanbieder vrij te kiezen?</t>
  </si>
  <si>
    <t>Toelichting</t>
  </si>
  <si>
    <t>Fiscaal voordeel</t>
  </si>
  <si>
    <t>Waardevastheid</t>
  </si>
  <si>
    <t>Gevolgen voor het inkomen</t>
  </si>
  <si>
    <t>Jaar:</t>
  </si>
  <si>
    <t>Leeftijd op 
31-12-2009</t>
  </si>
  <si>
    <t>jaar</t>
  </si>
  <si>
    <t>startsalaris</t>
  </si>
  <si>
    <t>eindleeftijd</t>
  </si>
  <si>
    <t>loonontwikkeling</t>
  </si>
  <si>
    <t>interest</t>
  </si>
  <si>
    <t>startjaar</t>
  </si>
  <si>
    <t>belastingtarief</t>
  </si>
  <si>
    <t>ll-korting</t>
  </si>
  <si>
    <t>Uren per maand</t>
  </si>
  <si>
    <t>Nieuwe regeling LL</t>
  </si>
  <si>
    <t>Nieuwe regeling LFB</t>
  </si>
  <si>
    <t>stuurkolom</t>
  </si>
  <si>
    <t>leeftijd</t>
  </si>
  <si>
    <t>maand salaris</t>
  </si>
  <si>
    <t>jaar salaris</t>
  </si>
  <si>
    <t>belasting saldo ll(saldo ll x bel.tarief)</t>
  </si>
  <si>
    <t>LL-korting (jaren x 195)</t>
  </si>
  <si>
    <t>saldo ll minus belasting</t>
  </si>
  <si>
    <t>saldo ll na aftrek belasting en ll korting (I-M+N)</t>
  </si>
  <si>
    <t>saldo lfb in bruto loon</t>
  </si>
  <si>
    <t>belasting lfb</t>
  </si>
  <si>
    <t>saldo lfb netto</t>
  </si>
  <si>
    <t>man</t>
  </si>
  <si>
    <t>vrouw</t>
  </si>
  <si>
    <t>neutraal</t>
  </si>
  <si>
    <t>Op welke leeftijd wilt u gaan sparen?</t>
  </si>
  <si>
    <t>netto*</t>
  </si>
  <si>
    <t>Invulblad spaargegevens</t>
  </si>
  <si>
    <t>Basis Levensfasebudget</t>
  </si>
  <si>
    <t>Levensfasebudget GGZ</t>
  </si>
  <si>
    <t>Garantieregeling oude 55 plus</t>
  </si>
  <si>
    <t>Tijdsparen</t>
  </si>
  <si>
    <t>eindjaar</t>
  </si>
  <si>
    <t>Te sparen uren</t>
  </si>
  <si>
    <t>Storting</t>
  </si>
  <si>
    <t>Interest</t>
  </si>
  <si>
    <t>Saldo</t>
  </si>
  <si>
    <t>min</t>
  </si>
  <si>
    <t>max</t>
  </si>
  <si>
    <t>Ziektekosten verzekering</t>
  </si>
  <si>
    <r>
      <t xml:space="preserve">Uw </t>
    </r>
    <r>
      <rPr>
        <b/>
        <sz val="9"/>
        <color indexed="18"/>
        <rFont val="Verdana"/>
        <family val="2"/>
      </rPr>
      <t xml:space="preserve">bruto </t>
    </r>
    <r>
      <rPr>
        <b/>
        <sz val="9"/>
        <color indexed="18"/>
        <rFont val="Verdana"/>
        <family val="2"/>
      </rPr>
      <t>maandsalaris</t>
    </r>
  </si>
  <si>
    <t>Was u in dienst bij een GGZ werkgever op 1 januari 2009?</t>
  </si>
  <si>
    <t>Rente</t>
  </si>
  <si>
    <t>U ben op 31 december 2009</t>
  </si>
  <si>
    <r>
      <t>50 jaar: vanaf het 55</t>
    </r>
    <r>
      <rPr>
        <vertAlign val="superscript"/>
        <sz val="9"/>
        <rFont val="Verdana"/>
        <family val="2"/>
      </rPr>
      <t>ste</t>
    </r>
    <r>
      <rPr>
        <sz val="9"/>
        <rFont val="Verdana"/>
        <family val="0"/>
      </rPr>
      <t xml:space="preserve"> jaar, jaarlijks 80 uur </t>
    </r>
  </si>
  <si>
    <r>
      <t>51 jaar: vanaf het 55</t>
    </r>
    <r>
      <rPr>
        <vertAlign val="superscript"/>
        <sz val="9"/>
        <rFont val="Verdana"/>
        <family val="2"/>
      </rPr>
      <t>ste</t>
    </r>
    <r>
      <rPr>
        <sz val="9"/>
        <rFont val="Verdana"/>
        <family val="0"/>
      </rPr>
      <t xml:space="preserve"> jaar, jaarlijks 100 uur</t>
    </r>
  </si>
  <si>
    <r>
      <t>52 jaar: vanaf het 55</t>
    </r>
    <r>
      <rPr>
        <vertAlign val="superscript"/>
        <sz val="9"/>
        <rFont val="Verdana"/>
        <family val="2"/>
      </rPr>
      <t>ste</t>
    </r>
    <r>
      <rPr>
        <sz val="9"/>
        <rFont val="Verdana"/>
        <family val="0"/>
      </rPr>
      <t xml:space="preserve"> jaar, jaarlijks 120 uur</t>
    </r>
  </si>
  <si>
    <r>
      <t>53 jaar: vanaf het 55</t>
    </r>
    <r>
      <rPr>
        <vertAlign val="superscript"/>
        <sz val="9"/>
        <rFont val="Verdana"/>
        <family val="2"/>
      </rPr>
      <t>ste</t>
    </r>
    <r>
      <rPr>
        <sz val="9"/>
        <rFont val="Verdana"/>
        <family val="0"/>
      </rPr>
      <t xml:space="preserve"> jaar, jaarlijks 135 uur</t>
    </r>
  </si>
  <si>
    <r>
      <t>54 jaar: vanaf het 55</t>
    </r>
    <r>
      <rPr>
        <vertAlign val="superscript"/>
        <sz val="9"/>
        <rFont val="Verdana"/>
        <family val="2"/>
      </rPr>
      <t>ste</t>
    </r>
    <r>
      <rPr>
        <sz val="9"/>
        <rFont val="Verdana"/>
        <family val="0"/>
      </rPr>
      <t xml:space="preserve"> jaar, jaarlijks 150 uur</t>
    </r>
  </si>
  <si>
    <t>Bent u 50 jaar of ouder, maar nog geen 55 jaar?</t>
  </si>
  <si>
    <t>Salaris</t>
  </si>
  <si>
    <t xml:space="preserve">U vult hier uw feitelijke salaris in. Werkt u voltijds, vult u uw voltijdssalaris in. Werkt u deeltijd? Vul dan uw deeltijdsalaris in.
</t>
  </si>
  <si>
    <t>Contracturen</t>
  </si>
  <si>
    <t>Vul hier het aantal uren in dat u per week volgens uw contract werkt. 
Heeft een min-max contract? Vul dan het gemiddeld aantal uren in dat u per week werkt.</t>
  </si>
  <si>
    <t>Berekening fiscaal voordeel</t>
  </si>
  <si>
    <t>Belastingtarief</t>
  </si>
  <si>
    <t>Loon op jaarbasis</t>
  </si>
  <si>
    <t>Loonbelasting/premie volksverzekeringen</t>
  </si>
  <si>
    <t>Schijf</t>
  </si>
  <si>
    <t>van</t>
  </si>
  <si>
    <t>tot</t>
  </si>
  <si>
    <t>jaarsalaris</t>
  </si>
  <si>
    <t>schijf</t>
  </si>
  <si>
    <r>
      <t>*</t>
    </r>
    <r>
      <rPr>
        <b/>
        <sz val="9"/>
        <color indexed="10"/>
        <rFont val="Verdana"/>
        <family val="2"/>
      </rPr>
      <t>LET OP!</t>
    </r>
    <r>
      <rPr>
        <sz val="9"/>
        <rFont val="Verdana"/>
        <family val="0"/>
      </rPr>
      <t xml:space="preserve"> Deze bedragen zijn indicatief. Afhankelijk van persoonlijke omstandigheden en feitelijke rendementen op de inleg in levensloop kunnen de uitkomsten afwijken.</t>
    </r>
  </si>
  <si>
    <t>sparen in tijd</t>
  </si>
  <si>
    <t>(bij uw werkgever)</t>
  </si>
  <si>
    <t>sparen in geld</t>
  </si>
  <si>
    <t>(in de levensloopregeling)</t>
  </si>
  <si>
    <t>Sociale zekerheid</t>
  </si>
  <si>
    <t>Pensioen</t>
  </si>
  <si>
    <t>Rechtenoverzicht obv CAO GGZ</t>
  </si>
  <si>
    <t>Nulwaarde LFB_2</t>
  </si>
  <si>
    <t>eindsaldo in uren lfb (cummulatief)</t>
  </si>
  <si>
    <t>Loonwaarden</t>
  </si>
  <si>
    <t>LFB in levensloop</t>
  </si>
  <si>
    <t>jaarrecht uren lfb</t>
  </si>
  <si>
    <t>Naar rato dvb</t>
  </si>
  <si>
    <t>Saldo lfb(cum)</t>
  </si>
  <si>
    <t>Naar rato</t>
  </si>
  <si>
    <t>Mee te nemen naar een andere werkgever?</t>
  </si>
  <si>
    <t>Voor levensloop kiest u zelf uw aanbieder. Het kan wel zijn dat uw werkgever gunstige afspraken heeft gemaakt met één of meer aanbieders. Vraag er naar bij uw werkgever.</t>
  </si>
  <si>
    <t xml:space="preserve">Vanaf welke leeftijd wilt u uit uw levensfasebudget </t>
  </si>
  <si>
    <t>Waarde niet-geindexeerde uren</t>
  </si>
  <si>
    <t xml:space="preserve">saldo lfb in bruto loon </t>
  </si>
  <si>
    <t>Nieuwe regeling LFB (rekeninghoudende met indexatie</t>
  </si>
  <si>
    <t>Netto uurloon</t>
  </si>
  <si>
    <t>Bruto uurloon</t>
  </si>
  <si>
    <t>In uren</t>
  </si>
  <si>
    <t>of</t>
  </si>
  <si>
    <t>Teruggerekend in uren</t>
  </si>
  <si>
    <t>Met levensloop hoeft u uw salaris niet tot 100% aan te vullen. U mag bijvoorbeeld ook 50% of 70% van uw salaris compenseren. U kunt dan uiteraard langer verlof genieten. Hiernaast kun u uit rekenen hoelang.</t>
  </si>
  <si>
    <t>aangepast uurloon</t>
  </si>
  <si>
    <t>Aangepaste uren</t>
  </si>
  <si>
    <r>
      <t>*</t>
    </r>
    <r>
      <rPr>
        <b/>
        <sz val="9"/>
        <color indexed="10"/>
        <rFont val="Verdana"/>
        <family val="2"/>
      </rPr>
      <t>LET OP!</t>
    </r>
    <r>
      <rPr>
        <sz val="9"/>
        <rFont val="Verdana"/>
        <family val="0"/>
      </rPr>
      <t xml:space="preserve"> Heeft u uit loon en levensloopuitkering samen 70% of meer van uw laatst verdiende loon, dan betaald uw werkgever het werkgeversdeel van de pensioenpremie tijdens uw verlof gewoon door! Extra voordeel dus.</t>
    </r>
  </si>
  <si>
    <t>U spaart de verlofuren uit uw LFB op bij uw werkgever. U kunt de gespaarde verlofuren in overleg met uw werkgever opnemen t.b.v. alle vormen van verlof of om tijdelijk minder te gaan werken.</t>
  </si>
  <si>
    <t>geen gevolgen</t>
  </si>
  <si>
    <t>tot 5 jaar na toekenning waardevast, daarna niet meer</t>
  </si>
  <si>
    <t xml:space="preserve">Gaat u over naar een andere GGZ-werkgever, dan kunt u uw oude werkgever vragen om de geldwaarde van uw gespaarde verloftegoed over te dragen aan uw nieuwe GGZ-werkgever. Houdt u er wel rekening mee dat de waarde van gespaarde verlofuren na 5 jaar niet meer wordt geindexeerd met uw uurloon.  </t>
  </si>
  <si>
    <t>Tijdsparen kan alleen bij uw eigen werkgever.</t>
  </si>
  <si>
    <t xml:space="preserve">Tijdens de periode van sparen wijzigt uw salaris niet en zijn er geen gevolgen voor de sociale zekerheid. Bij opname van gespaarde uren is er sprake van betaald verlof en geldt in principe hetzelfde tenzij een deel van de gespaarde uren niet meer volledig geindexeerd is doordat ze langer dan 5 jaar zijn opgespaard. In dat geval vindt er bij opname van de uren geen volledige loondoorbetaling plaats. Dat kan van invloed zijn op de hoogte van een eventuele uitkering. </t>
  </si>
  <si>
    <t xml:space="preserve">Tijdens de periode van sparen wijzigt uw salaris niet en zijn er geen gevolgen voor uw inkomen. Bij opname van gespaarde uren is er sprake van betaald verlof en geldt in principe hetzelfde tenzij een deel van de gespaarde uren niet meer volledig geindexeerd is doordat ze langer dan 5 jaar zijn opgespaard. In dat geval is er sprake van een lager salaris en daalt uw inkomen voor de duur van het opgenomen verlof. </t>
  </si>
  <si>
    <t xml:space="preserve">Tijdens de periode van sparen wijzigt uw salaris niet en blijft u over uw volledige salaris pensioen opbouwen. Bij opname van gespaarde uren is er sprake van betaald verlof en geldt in principe hetzelfde tenzij een deel van de gespaarde uren niet meer volledig geindexeerd is doordat ze langer dan 5 jaar zijn opgespaard. In dat geval vindt er bij opname van de uren geen volledige loondoorbetaling plaats en vindt de pensioenopbouw voor de duur van het opgenomen verlof plaats over het lagere salaris.  </t>
  </si>
  <si>
    <t>Zowel tijdens de periode van sparen als tijdens de periode van opname van levenslooptegoed blijft u recht houden op een eventuele bijdrage in de premie voor de basisaanvullende ziektekostenregeling IZZ op grond van hoofdstuk 11 onderdeel G van de CAO GGZ.</t>
  </si>
  <si>
    <t>Zowel tijdens de periode van sparen als tijdens de periode van opname van gespaard verlof blijft u recht houden op een eventuele bijdrage in de premie voor de basisaanvullende ziektekostenregeling IZZ op grond van hoofdstuk 11 onderdeel G van de CAO GGZ.</t>
  </si>
  <si>
    <t>De waarde van tijd in tijdsparen stijgt de eerste vijf jaar mee met uw loonontwikkeling. Periodieken, cao-verhoging en eventuele promoties worden in de waardeberekening meegenomen.</t>
  </si>
  <si>
    <t>Tijdens de periode van sparen wijzigt uw salaris niet en blijft u over uw volledige salaris pensioen opbouwen. Bij opname van levenslooptegoed is er altijd sprake van (deels) onbetaald verlof en dus van een lager of geen salaris (dat compenseert u immers met het opnemen van levenslooptegoed). De normale pensioenopbouw stopt voor het deel waarvoor u onbetaald verlof opneemt. U kunt echter wel uw pensioenopbouw vrijwillig voortzetten. In de CAO is geregeld dat als de opname van levenslooptegoed tenminste 70% van uw normale salaris bedraagt, u en uw werkgever elk een deel van de premie voor de vrijwillge voorzetting van het pensioen betalen.</t>
  </si>
  <si>
    <r>
      <t xml:space="preserve">Iedere medewerker binnen de GGZ krijgt een levensfasebudget. Het levensfasebudget bedraagt in 2010 20 uur, in 2011 30 uur en vanaf 2012 35 uur per jaar en wordt naar rato per kalendermaand opgebouwd. Met het levensfasebudget kunt u zelf sparen voor uw eigen "leeftijdsverlof". U kunt het natuurlijk ook nu opnemen. Verder kunt u het levensfasebudget via het meerkeuze systeem alleen inzetten voor levensloop of extra pensioen storten. Tussentijds uitbetalen kan </t>
    </r>
    <r>
      <rPr>
        <u val="single"/>
        <sz val="9"/>
        <rFont val="Verdana"/>
        <family val="2"/>
      </rPr>
      <t>niet!</t>
    </r>
  </si>
  <si>
    <t>Dit is een voorwaarde om mogelijk voor een overgangsregeling in aanmerking te komen.
Let op! U hoeft hiervoor niet op 1 januari 2009 bij uw huidige werkgever in 
dienst te zijn geweest. Was u bij een ander GGZ werkgever aan het werk op 1 januari 2009, voldoet u ook aan deze voorwaarde.</t>
  </si>
  <si>
    <t>Verlofberekening (garantieregeling categorie A)</t>
  </si>
  <si>
    <t>Verlofberekening (garantieregeling categorie C, oude 55+ regeling)</t>
  </si>
  <si>
    <t>Verlofberekening (garantieregeling categorie D)</t>
  </si>
  <si>
    <t>Overgangsrecht 45-49 jaar</t>
  </si>
  <si>
    <t>Verlofberekening (garantieregeling categorie B)</t>
  </si>
  <si>
    <t>Garantie 55-59</t>
  </si>
  <si>
    <t xml:space="preserve">uur </t>
  </si>
  <si>
    <t>Verlofberekening (garantieregeling categorie C)</t>
  </si>
  <si>
    <t>60 jaar of ouder op 31-12-2009</t>
  </si>
  <si>
    <t>Recht</t>
  </si>
  <si>
    <t>Garantierecht 50-54</t>
  </si>
  <si>
    <t>Bij bereiken 55 jaar</t>
  </si>
  <si>
    <t>Geldende regeling</t>
  </si>
  <si>
    <t>Tussen 50-54 op 31-12-2009?</t>
  </si>
  <si>
    <t>Regeling</t>
  </si>
  <si>
    <t>Nu</t>
  </si>
  <si>
    <t>Vanaf 55 jaar</t>
  </si>
  <si>
    <t>A</t>
  </si>
  <si>
    <t>B</t>
  </si>
  <si>
    <t>C</t>
  </si>
  <si>
    <t>D</t>
  </si>
  <si>
    <t>n.v.t.</t>
  </si>
  <si>
    <t>Overgangsregelingen</t>
  </si>
  <si>
    <t>Basisrecht</t>
  </si>
  <si>
    <t xml:space="preserve">Dan heeft u mogelijk recht op een overgangsregeling. Vanaf 2010 bouwt u sneller levensfasebudget op dan in de reguliere regeling. Vanaf het jaar dat u 55 wordt, ontvangt u jaarlijks naar rato van het dienstverband en naar rato per kalenderjaar opgebouwd, een extra storting in uw levensfasebudget volgens onderstaande tabel:
</t>
  </si>
  <si>
    <t>Bent u 60 jaar of ouder?</t>
  </si>
  <si>
    <t>Dan heeft u bij een volledig dienstverband een verlofbudget van 180 uur per jaar. Maakte u al gebruik van de "oude" 55-plus regeling? Dan blijven voor u deze rechten gegarandeerd.</t>
  </si>
  <si>
    <t>Verlofberekening (nieuwe regeling, berekende waarde)</t>
  </si>
  <si>
    <t>Verlofberekening (nieuwe regeling, tabelwaarde)</t>
  </si>
  <si>
    <t>Aantal maanden voor 65</t>
  </si>
  <si>
    <t>Rijwaarde</t>
  </si>
  <si>
    <t>Kolomwaarde</t>
  </si>
  <si>
    <t>Wordt niet gebruikt</t>
  </si>
  <si>
    <t>Categorie</t>
  </si>
  <si>
    <t>Vanaf 55 jaar (jaarrecht)</t>
  </si>
  <si>
    <t>(Standaard 3,4%)</t>
  </si>
  <si>
    <t>Op basis van uw arbeidsverleden en uw leeftijd valt u onder</t>
  </si>
  <si>
    <t>:</t>
  </si>
  <si>
    <t>Uw Levensfasebudget</t>
  </si>
  <si>
    <t>Als u uw verlofbudget in levensloop stort, ontvangt u over uw levensloopsaldo rente. Voor de berekening wordt hierbij standaard uitgegaan van een rente van 3,4%*. U kunt hier zelf een waarde invullen. Bijvoorbeeld wanneer u een beleggingsvariant van levensloop hebt in plaats van een spaarvariant.</t>
  </si>
  <si>
    <t>www.pggm.nl</t>
  </si>
  <si>
    <t>Kolomnr. &gt;</t>
  </si>
  <si>
    <t>Berekeningsjaar</t>
  </si>
  <si>
    <t>Betreffende jaar</t>
  </si>
  <si>
    <t>afhankelijk van het rendement</t>
  </si>
  <si>
    <t>Hoeveel van uw dan geldende salaris wilt u uit levensloop compenseren?</t>
  </si>
  <si>
    <t xml:space="preserve">10 dienstjaren gewerkt als deelnemer in de regeling </t>
  </si>
  <si>
    <t>Heeft u op 31 december 2009 tenminste</t>
  </si>
  <si>
    <t>van Pensioenfonds Zorg en Welzijn (voorheen PGGM)?</t>
  </si>
  <si>
    <t>De rekentool is bedoeld om levensloop en tijdsparen met elkaar te vergelijken.
Uiteraard kunt u ervoor kiezen om zowel in levensloop als in tijdsparen te sparen. In dat geval dient u voor levensloop en tijdsparen elk een aparte vergelijking te maken.</t>
  </si>
  <si>
    <t>Heeft u op 31 december 2009 tenminste 10 dienstjaren gewerkt als deelnemer in de regeling van Pensioenfonds Zorg en Welzijn (voorheen PGGM)?</t>
  </si>
  <si>
    <t>*levensloopaanbieders zijn ondermeer:</t>
  </si>
  <si>
    <t>Voor LFB-uren geldt geen maximum aantal uren dat meegenomen kan worden naar het volgende kalenderjaar. Het spaartegoed in tijd is onbelast tot 50 keer de wekelijkse arbeidsduur (1.800 uur bij een fulltime dienstverband). Over het meerdere moet belasting worden betaald.</t>
  </si>
  <si>
    <t>www.rabobank.nl</t>
  </si>
  <si>
    <t>www.reaal.nl</t>
  </si>
  <si>
    <t>Overgangsrecht 50+ na 1-1-09</t>
  </si>
  <si>
    <t>Het opsparen van verlofuren uit uw LFB bij uw werkgever levert u verder geen fiscaal voordeel op. 
Als u voor tijdsparen kiest, kunt u tevens deelnemen aan de spaarloonregeling. In dat geval geniet u fiscaal voordeel over de inleg in uw spaarloonregeling. Het voordeel bedraagt dan uw belastingtarief over 
maximaal € 613,-. In de meeste gevallen komt dat neer op een fiscaal voordeel van 
€ 257,- per jaar dat u deelneemt.</t>
  </si>
  <si>
    <t xml:space="preserve">Als u spaart in de levensloopregeling hoeft u geen belasting te betalen over de inleg. U betaalt wél belasting als u tegoed uit uw levenslooprekening opneemt. Voor ieder jaar dat u in de levenslooprekening heeft gespaard, bouwt u een fiscale heffingskorting op van € 195,-. Als u in levensloop spaart, kunt u in dat zelfde jaar niet in spaarloon sparen. De opgebouwde heffingskorting mag u in mindering brengen op de belasting die u moet betalen als u levenslooptegoed opneemt. Door de heffingskorting houdt u netto aanzienlijk meer  over van het opgenomen levenslooptegoed. Het spaartegoed in de levensloopregeling is bovendien vrijgesteld van vermogens-rendementsheffing in Box 3. </t>
  </si>
  <si>
    <t>U kunt uw verloftegoed in overleg met uw werkgever opnemen voor alle vormen van verlof zoals ouderschapsverlof, verlengd bevallingsverlof, tijdelijk minder werken of (extra) studieverlof. U dient wel een redelijke aanvraagtermijn richting uw werkgever in acht te nemen.
U spaart in tijd via een tegoed aan verlofuren in de verlofadministratie van uw werkgever. Wanneer u verlofuren van uw tegoed opneemt, wordt dat net als bij gewoon verlof van uw tegoed afgeschreven. U kunt uw verlof ook gebruiken om er stortingen in een Extra Pensioen-polis mee te doen.</t>
  </si>
  <si>
    <t>Het antwoord op de vraag of u later net zoveel met u geld kunt kopen als nu, wanneer u het inlegt, is afhankelijk van het rendement. Als u spaart heeft u meer zekerheid over het rendement dan wanneer u belegt. Maar met beleggen kunt u hogere rendementen halen. Vraag uw levensloopaanbieder naar de mogelijkheden en de riscio's.</t>
  </si>
  <si>
    <t>U spaart in de levensloopregeling op een rekening op uw eigen naam. Uw levenslooptegoed is een persoonlijk tegoed, u kunt het tegoed dus gewoon meenemen naar een andere werkgever.</t>
  </si>
  <si>
    <t>x</t>
  </si>
  <si>
    <t>(H6, Artikel 11 CAO GGZ)</t>
  </si>
  <si>
    <t>Bent u 55 jaar of ouder, maar nog geen 60 jaar?</t>
  </si>
  <si>
    <t xml:space="preserve">Dan heeft u bij een volledig dienstverband een verlofbudget van 165 uur per jaar. </t>
  </si>
  <si>
    <t>Omdat u spaart vanuit de waarde van uw levensfasebudget en niet vanuit loon, verandert uw loon tijdens de periode van sparen in de levensloopregeling niet. Uw inkomen blijft gelijk en er zijn geen gevolgen voor de sociale zekerheid. Bij opname van levenslooptegoed bent u over het bedrag van de opname niet alleen loonbelasting maar ook premies volksverzekeringen verschuldigd. Gedurende de opname van levensloopverlof blijft u verzekerd voor de sociale zekerheid.</t>
  </si>
  <si>
    <t>Omdat u spaart vanuit de waarde van uw levensfasebudget en niet vanuit loon, verandert uw loon tijdens de periode van sparen in de levensloopregeling niet. Bij opname van levenslooptegoed heeft u zelf de keuze voor welk deel van uw normale salaris u levenslooptegoed laat uitbetalen. De uitbetaling van levensloop-tegoed mag nooit meer bedragen dan 100% van uw normale salaris. Deelname heeft geen gevolgen voor de opbouw van uw vakantiegeld en uw eindejaarsuitkering.</t>
  </si>
  <si>
    <t>Voor welke jaar wilt u een berekening maken?</t>
  </si>
  <si>
    <t>U stort de waarde van de verlofuren uit uw LFB in de levensloopregeling. U kunt uw LFB levenslooptegoed opnemen om tijdelijk minder te werken of om eerder te stoppen met werken. Levensloopverlof is in principe onbetaald verlof, u krijgt vanuit de CAO GGZ over uw LFB levensloopverlof wel extra’s (opbouw vakantiegeld, opbouw van eindejaarsuitkering en werkgeversbijdrage levensloop en pensioenopbouw, dit onder voorwaarden).
Wanneer u LFB verlof opneemt uit levensloop, bouwt u tijdens uw verlof nieuw LFB op.</t>
  </si>
  <si>
    <t>U kunt uw levenslooptegoed  opnemen als compensatie voor inkomensverlies tijdens onbetaald verlof of om er stortingen in een Extra Pensioen-polis mee te doen. U bepaalt zelf hoeveel u wilt opnemen tijdens een periode van onbetaald verlof. Uw uitkering uit de levensloopregeling en uw salaris mogen tijdens een periode van onbetaald verlof samen niet hoger zijn dan uw oorspronkelijke loon. 
U spaart in geld via een tegoed op een geblokkeerde bank- of beleggingsrekening bij de levensloopuitvoerder. Als u uw LFB verlof wilt sparen in levensloop, moet u dus eerst een aparte levensloop-rekening openen. U krijgt vanuit de CAO GGZ over uw LFB levensloopverlof ook nog een aantal extra’s, zoals opbouw vakantiegeld en opbouw van eindejaarsuitkering.
Tijdens opname van LFB verlof bouwt u nieuw LFB verlof op.</t>
  </si>
  <si>
    <t>of levensloopsaldo opnemen?</t>
  </si>
  <si>
    <t>bij inleg: geen gevolgen
 bij opname: geen opbouw tenzij opbouw vrijwillig wordt voortgezet</t>
  </si>
  <si>
    <t>Levensloopsparen is aan een fiscaal maximum gebonden.            Jaarlijks mag u maximaal  12% van uw jaarsalaris inleggen in de levensloopregeling. 
Uw tegoed in de levensloopregeling mag niet meer bedragen dan 210% van uw jaarsalaris, te meten op de peildatum (= het jaarsalaris op 31 december van het voorgaande kalenderjaar).
Uitzondering op deze regel is als u geboren bent tussen 1950 en 1955. Dan mag u van de fiscus wel versneld inleggen. Dus méér dan 12%. De grens van 210% geldt nog wel.</t>
  </si>
  <si>
    <t>Bevestig</t>
  </si>
  <si>
    <t>Welk deel van uw levensfasebudget sparen?</t>
  </si>
  <si>
    <t>Met welk rendement (rente) wilt u rekenen?</t>
  </si>
  <si>
    <t>Bent u op 31 december 2009 45 jaar, maar nog geen 50 jaar oud? Dan komt u in de maand waarin u 55 jaar wordt, in aanmerking voor een éénmalige storting van 200 uur (afhankelijk van de omvang van uw dienstverband) wanneer u tenminste 10 dienstjaren heeft gewerkt als deelnemer in de regeling van Pensioenfonds Zorg en Welzijn (voorheen PGGM)?. Heeft u in die tijd buiten de GGZ maar in zorg of welzijn gewerkt? Die tijd telt mee.</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</si>
</sst>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413]dddd\ d\ mmmm\ yyyy"/>
    <numFmt numFmtId="180" formatCode="0.0%"/>
    <numFmt numFmtId="181" formatCode="_-&quot;€&quot;\ * #,##0.0_-;_-&quot;€&quot;\ * #,##0.0\-;_-&quot;€&quot;\ * &quot;-&quot;_-;_-@_-"/>
    <numFmt numFmtId="182" formatCode="_-&quot;€&quot;\ * #,##0.00_-;_-&quot;€&quot;\ * #,##0.00\-;_-&quot;€&quot;\ * &quot;-&quot;_-;_-@_-"/>
    <numFmt numFmtId="183" formatCode="#,##0.0_ ;\-#,##0.0\ "/>
    <numFmt numFmtId="184" formatCode="m/d/yyyy;@"/>
    <numFmt numFmtId="185" formatCode="d/mm/yy;@"/>
    <numFmt numFmtId="186" formatCode="dd/mm/yy;@"/>
    <numFmt numFmtId="187" formatCode="&quot;Ja&quot;;&quot;Ja&quot;;&quot;Nee&quot;"/>
    <numFmt numFmtId="188" formatCode="&quot;Waar&quot;;&quot;Waar&quot;;&quot;Niet waar&quot;"/>
    <numFmt numFmtId="189" formatCode="&quot;Aan&quot;;&quot;Aan&quot;;&quot;Uit&quot;"/>
    <numFmt numFmtId="190" formatCode="[$€-2]\ #.##000_);[Red]\([$€-2]\ #.##000\)"/>
    <numFmt numFmtId="191" formatCode="0.000%"/>
    <numFmt numFmtId="192" formatCode="0.0000%"/>
    <numFmt numFmtId="193" formatCode="#,##0.0"/>
    <numFmt numFmtId="194" formatCode="#,###\z.\z"/>
    <numFmt numFmtId="195" formatCode="#,###.#"/>
    <numFmt numFmtId="196" formatCode="0.000000000"/>
    <numFmt numFmtId="197" formatCode="0.0000000000"/>
    <numFmt numFmtId="198" formatCode="#,##0.000"/>
    <numFmt numFmtId="199" formatCode="#,##0.0000"/>
    <numFmt numFmtId="200" formatCode="0.00_ ;[Red]\-0.00\ "/>
    <numFmt numFmtId="201" formatCode="0_ ;[Red]\-0\ "/>
    <numFmt numFmtId="202" formatCode="00.00.00.000"/>
    <numFmt numFmtId="203" formatCode="&quot;€&quot;\ #,##0_-"/>
    <numFmt numFmtId="204" formatCode="&quot;€&quot;\ #,##0.0000_-"/>
    <numFmt numFmtId="205" formatCode="_-* #,##0.0_-;_-* #,##0.0\-;_-* &quot;-&quot;??_-;_-@_-"/>
    <numFmt numFmtId="206" formatCode="_-* #,##0_-;_-* #,##0\-;_-* &quot;-&quot;??_-;_-@_-"/>
    <numFmt numFmtId="207" formatCode="_-&quot;€&quot;\ * #,##0.0_-;_-&quot;€&quot;\ * #,##0.0\-;_-&quot;€&quot;\ * &quot;-&quot;??_-;_-@_-"/>
    <numFmt numFmtId="208" formatCode="_-&quot;€&quot;\ * #,##0_-;_-&quot;€&quot;\ * #,##0\-;_-&quot;€&quot;\ * &quot;-&quot;??_-;_-@_-"/>
    <numFmt numFmtId="209" formatCode="_-* #,##0.0_-;_-* #,##0.0\-;_-* &quot;-&quot;?_-;_-@_-"/>
    <numFmt numFmtId="210" formatCode="#,##0_-"/>
    <numFmt numFmtId="211" formatCode="#,##0.0_-"/>
    <numFmt numFmtId="212" formatCode="#,##0.00_-"/>
    <numFmt numFmtId="213" formatCode="0.00000%"/>
  </numFmts>
  <fonts count="70">
    <font>
      <sz val="9"/>
      <name val="Verdana"/>
      <family val="0"/>
    </font>
    <font>
      <sz val="8"/>
      <name val="Verdana"/>
      <family val="0"/>
    </font>
    <font>
      <i/>
      <sz val="8"/>
      <color indexed="17"/>
      <name val="Verdana"/>
      <family val="2"/>
    </font>
    <font>
      <sz val="8"/>
      <name val="Tahoma"/>
      <family val="0"/>
    </font>
    <font>
      <b/>
      <sz val="8"/>
      <name val="Tahoma"/>
      <family val="0"/>
    </font>
    <font>
      <u val="single"/>
      <sz val="9"/>
      <color indexed="36"/>
      <name val="Verdana"/>
      <family val="0"/>
    </font>
    <font>
      <u val="single"/>
      <sz val="9"/>
      <color indexed="12"/>
      <name val="Verdana"/>
      <family val="0"/>
    </font>
    <font>
      <sz val="9"/>
      <color indexed="9"/>
      <name val="Verdana"/>
      <family val="0"/>
    </font>
    <font>
      <sz val="16"/>
      <color indexed="9"/>
      <name val="Verdana"/>
      <family val="2"/>
    </font>
    <font>
      <sz val="7"/>
      <name val="Verdana"/>
      <family val="2"/>
    </font>
    <font>
      <b/>
      <sz val="9"/>
      <color indexed="18"/>
      <name val="Verdana"/>
      <family val="2"/>
    </font>
    <font>
      <i/>
      <sz val="9"/>
      <name val="Verdana"/>
      <family val="2"/>
    </font>
    <font>
      <sz val="8"/>
      <color indexed="9"/>
      <name val="Verdana"/>
      <family val="2"/>
    </font>
    <font>
      <b/>
      <sz val="9"/>
      <name val="Verdana"/>
      <family val="2"/>
    </font>
    <font>
      <b/>
      <sz val="12"/>
      <color indexed="9"/>
      <name val="Arial"/>
      <family val="2"/>
    </font>
    <font>
      <b/>
      <i/>
      <sz val="9"/>
      <color indexed="9"/>
      <name val="Arial"/>
      <family val="2"/>
    </font>
    <font>
      <u val="single"/>
      <sz val="9"/>
      <name val="Verdana"/>
      <family val="2"/>
    </font>
    <font>
      <sz val="9"/>
      <color indexed="8"/>
      <name val="Arial"/>
      <family val="2"/>
    </font>
    <font>
      <sz val="14"/>
      <color indexed="9"/>
      <name val="Verdana"/>
      <family val="0"/>
    </font>
    <font>
      <b/>
      <sz val="8"/>
      <color indexed="10"/>
      <name val="Verdana"/>
      <family val="2"/>
    </font>
    <font>
      <i/>
      <sz val="8"/>
      <color indexed="18"/>
      <name val="Verdana"/>
      <family val="2"/>
    </font>
    <font>
      <sz val="8"/>
      <color indexed="10"/>
      <name val="Verdana"/>
      <family val="0"/>
    </font>
    <font>
      <sz val="10"/>
      <color indexed="17"/>
      <name val="Wingdings"/>
      <family val="0"/>
    </font>
    <font>
      <sz val="10"/>
      <name val="Verdana"/>
      <family val="0"/>
    </font>
    <font>
      <sz val="10"/>
      <color indexed="10"/>
      <name val="Wingdings"/>
      <family val="0"/>
    </font>
    <font>
      <u val="single"/>
      <sz val="8"/>
      <color indexed="12"/>
      <name val="Verdana"/>
      <family val="0"/>
    </font>
    <font>
      <u val="single"/>
      <sz val="8"/>
      <name val="Verdana"/>
      <family val="0"/>
    </font>
    <font>
      <b/>
      <sz val="8"/>
      <color indexed="18"/>
      <name val="Verdana"/>
      <family val="2"/>
    </font>
    <font>
      <b/>
      <sz val="10"/>
      <color indexed="9"/>
      <name val="Verdana"/>
      <family val="2"/>
    </font>
    <font>
      <i/>
      <sz val="9"/>
      <color indexed="9"/>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0"/>
      <name val="Arial"/>
      <family val="0"/>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Arial"/>
      <family val="0"/>
    </font>
    <font>
      <sz val="10"/>
      <color indexed="9"/>
      <name val="Arial"/>
      <family val="0"/>
    </font>
    <font>
      <sz val="10"/>
      <color indexed="56"/>
      <name val="Arial"/>
      <family val="0"/>
    </font>
    <font>
      <sz val="10"/>
      <name val="Times New Roman"/>
      <family val="1"/>
    </font>
    <font>
      <b/>
      <sz val="10"/>
      <name val="Times New Roman"/>
      <family val="1"/>
    </font>
    <font>
      <sz val="12"/>
      <name val="Times New Roman"/>
      <family val="1"/>
    </font>
    <font>
      <b/>
      <sz val="12"/>
      <name val="Times New Roman"/>
      <family val="1"/>
    </font>
    <font>
      <b/>
      <sz val="9"/>
      <color indexed="10"/>
      <name val="Verdana"/>
      <family val="2"/>
    </font>
    <font>
      <sz val="8"/>
      <color indexed="18"/>
      <name val="Verdana"/>
      <family val="0"/>
    </font>
    <font>
      <sz val="8"/>
      <color indexed="18"/>
      <name val="Wingdings"/>
      <family val="0"/>
    </font>
    <font>
      <vertAlign val="superscript"/>
      <sz val="9"/>
      <name val="Verdana"/>
      <family val="2"/>
    </font>
    <font>
      <b/>
      <sz val="10"/>
      <color indexed="18"/>
      <name val="Arial"/>
      <family val="2"/>
    </font>
    <font>
      <b/>
      <sz val="10"/>
      <name val="Arial"/>
      <family val="0"/>
    </font>
    <font>
      <sz val="10"/>
      <color indexed="43"/>
      <name val="Arial"/>
      <family val="0"/>
    </font>
    <font>
      <b/>
      <i/>
      <sz val="9"/>
      <name val="Verdana"/>
      <family val="2"/>
    </font>
    <font>
      <i/>
      <sz val="8"/>
      <name val="Verdana"/>
      <family val="2"/>
    </font>
    <font>
      <b/>
      <i/>
      <u val="single"/>
      <sz val="12"/>
      <color indexed="9"/>
      <name val="Arial"/>
      <family val="2"/>
    </font>
    <font>
      <sz val="10"/>
      <name val="Tahoma"/>
      <family val="0"/>
    </font>
    <font>
      <b/>
      <sz val="10"/>
      <name val="Tahoma"/>
      <family val="0"/>
    </font>
    <font>
      <sz val="9"/>
      <color indexed="10"/>
      <name val="Verdana"/>
      <family val="2"/>
    </font>
    <font>
      <u val="single"/>
      <sz val="9"/>
      <color indexed="18"/>
      <name val="Verdana"/>
      <family val="0"/>
    </font>
    <font>
      <b/>
      <sz val="8"/>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17"/>
        <bgColor indexed="64"/>
      </patternFill>
    </fill>
    <fill>
      <patternFill patternType="solid">
        <fgColor indexed="48"/>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23"/>
      </left>
      <right style="thin">
        <color indexed="23"/>
      </right>
      <top style="medium">
        <color indexed="23"/>
      </top>
      <bottom style="thin">
        <color indexed="2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right style="medium">
        <color indexed="55"/>
      </right>
      <top>
        <color indexed="63"/>
      </top>
      <bottom style="dotted">
        <color indexed="55"/>
      </bottom>
    </border>
    <border>
      <left>
        <color indexed="63"/>
      </left>
      <right style="thin">
        <color indexed="55"/>
      </right>
      <top>
        <color indexed="63"/>
      </top>
      <bottom style="dotted">
        <color indexed="55"/>
      </bottom>
    </border>
    <border>
      <left style="thin">
        <color indexed="55"/>
      </left>
      <right style="thin">
        <color indexed="55"/>
      </right>
      <top>
        <color indexed="63"/>
      </top>
      <bottom style="dotted">
        <color indexed="55"/>
      </bottom>
    </border>
    <border>
      <left style="thin"/>
      <right style="medium">
        <color indexed="55"/>
      </right>
      <top style="dotted">
        <color indexed="55"/>
      </top>
      <bottom style="dotted">
        <color indexed="55"/>
      </bottom>
    </border>
    <border>
      <left>
        <color indexed="63"/>
      </left>
      <right style="thin">
        <color indexed="55"/>
      </right>
      <top style="dotted">
        <color indexed="55"/>
      </top>
      <bottom style="dotted">
        <color indexed="55"/>
      </bottom>
    </border>
    <border>
      <left style="thin">
        <color indexed="55"/>
      </left>
      <right style="thin">
        <color indexed="55"/>
      </right>
      <top style="dotted">
        <color indexed="55"/>
      </top>
      <bottom style="dotted">
        <color indexed="55"/>
      </bottom>
    </border>
    <border>
      <left style="thin"/>
      <right style="medium">
        <color indexed="55"/>
      </right>
      <top style="dotted">
        <color indexed="55"/>
      </top>
      <bottom style="thin"/>
    </border>
    <border>
      <left style="medium">
        <color indexed="55"/>
      </left>
      <right style="thin">
        <color indexed="55"/>
      </right>
      <top style="dotted">
        <color indexed="55"/>
      </top>
      <bottom style="thin">
        <color indexed="55"/>
      </bottom>
    </border>
    <border>
      <left style="thin">
        <color indexed="55"/>
      </left>
      <right style="thin">
        <color indexed="55"/>
      </right>
      <top style="dotted">
        <color indexed="55"/>
      </top>
      <bottom style="thin">
        <color indexed="55"/>
      </bottom>
    </border>
    <border>
      <left style="thin"/>
      <right style="thin"/>
      <top style="thin"/>
      <bottom style="thin"/>
    </border>
    <border>
      <left>
        <color indexed="63"/>
      </left>
      <right>
        <color indexed="63"/>
      </right>
      <top style="thin">
        <color indexed="18"/>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style="thin">
        <color indexed="18"/>
      </top>
      <bottom>
        <color indexed="63"/>
      </bottom>
    </border>
    <border>
      <left>
        <color indexed="63"/>
      </left>
      <right style="thin">
        <color indexed="18"/>
      </right>
      <top>
        <color indexed="63"/>
      </top>
      <bottom style="thin">
        <color indexed="18"/>
      </bottom>
    </border>
    <border>
      <left>
        <color indexed="63"/>
      </left>
      <right style="thin">
        <color indexed="18"/>
      </right>
      <top>
        <color indexed="63"/>
      </top>
      <bottom>
        <color indexed="63"/>
      </bottom>
    </border>
    <border>
      <left>
        <color indexed="63"/>
      </left>
      <right style="medium">
        <color indexed="18"/>
      </right>
      <top>
        <color indexed="63"/>
      </top>
      <bottom>
        <color indexed="63"/>
      </bottom>
    </border>
    <border>
      <left>
        <color indexed="63"/>
      </left>
      <right>
        <color indexed="63"/>
      </right>
      <top>
        <color indexed="63"/>
      </top>
      <bottom style="medium">
        <color indexed="18"/>
      </bottom>
    </border>
    <border>
      <left style="thin">
        <color indexed="18"/>
      </left>
      <right>
        <color indexed="63"/>
      </right>
      <top style="thin">
        <color indexed="18"/>
      </top>
      <bottom>
        <color indexed="63"/>
      </bottom>
    </border>
    <border>
      <left>
        <color indexed="63"/>
      </left>
      <right style="thin">
        <color indexed="55"/>
      </right>
      <top style="dotted">
        <color indexed="55"/>
      </top>
      <bottom style="thin">
        <color indexed="55"/>
      </bottom>
    </border>
    <border>
      <left>
        <color indexed="63"/>
      </left>
      <right style="double"/>
      <top>
        <color indexed="63"/>
      </top>
      <bottom>
        <color indexed="63"/>
      </bottom>
    </border>
    <border>
      <left style="thin">
        <color indexed="55"/>
      </left>
      <right style="double"/>
      <top>
        <color indexed="63"/>
      </top>
      <bottom style="dotted">
        <color indexed="55"/>
      </bottom>
    </border>
    <border>
      <left style="thin">
        <color indexed="55"/>
      </left>
      <right style="double"/>
      <top style="dotted">
        <color indexed="55"/>
      </top>
      <bottom style="dotted">
        <color indexed="55"/>
      </bottom>
    </border>
    <border>
      <left style="thin">
        <color indexed="55"/>
      </left>
      <right style="double"/>
      <top style="dotted">
        <color indexed="55"/>
      </top>
      <bottom style="thin">
        <color indexed="55"/>
      </bottom>
    </border>
    <border>
      <left style="thin">
        <color indexed="18"/>
      </left>
      <right>
        <color indexed="63"/>
      </right>
      <top>
        <color indexed="63"/>
      </top>
      <bottom>
        <color indexed="63"/>
      </bottom>
    </border>
    <border>
      <left style="thin"/>
      <right>
        <color indexed="63"/>
      </right>
      <top style="dotted">
        <color indexed="55"/>
      </top>
      <bottom style="dotted">
        <color indexed="55"/>
      </bottom>
    </border>
    <border>
      <left style="thin">
        <color indexed="10"/>
      </left>
      <right style="thin">
        <color indexed="10"/>
      </right>
      <top style="thin">
        <color indexed="10"/>
      </top>
      <bottom style="thin">
        <color indexed="10"/>
      </bottom>
    </border>
    <border>
      <left>
        <color indexed="63"/>
      </left>
      <right>
        <color indexed="63"/>
      </right>
      <top style="dotted">
        <color indexed="55"/>
      </top>
      <bottom>
        <color indexed="63"/>
      </bottom>
    </border>
    <border>
      <left style="thin">
        <color indexed="55"/>
      </left>
      <right>
        <color indexed="63"/>
      </right>
      <top style="dotted">
        <color indexed="55"/>
      </top>
      <bottom>
        <color indexed="63"/>
      </bottom>
    </border>
    <border>
      <left style="thin">
        <color indexed="55"/>
      </left>
      <right style="thin">
        <color indexed="55"/>
      </right>
      <top style="dotted">
        <color indexed="55"/>
      </top>
      <bottom>
        <color indexed="63"/>
      </bottom>
    </border>
    <border>
      <left style="thin"/>
      <right style="thin">
        <color indexed="10"/>
      </right>
      <top style="dotted">
        <color indexed="55"/>
      </top>
      <bottom style="dotted">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5" fillId="0" borderId="0" applyNumberFormat="0" applyFill="0" applyBorder="0" applyAlignment="0" applyProtection="0"/>
    <xf numFmtId="0" fontId="35" fillId="4" borderId="0" applyNumberFormat="0" applyBorder="0" applyAlignment="0" applyProtection="0"/>
    <xf numFmtId="0" fontId="6" fillId="0" borderId="0" applyNumberFormat="0" applyFill="0" applyBorder="0" applyAlignment="0" applyProtection="0"/>
    <xf numFmtId="0" fontId="3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0" fontId="37" fillId="23" borderId="7" applyNumberFormat="0" applyFont="0" applyAlignment="0" applyProtection="0"/>
    <xf numFmtId="0" fontId="42" fillId="3" borderId="0" applyNumberFormat="0" applyBorder="0" applyAlignment="0" applyProtection="0"/>
    <xf numFmtId="9" fontId="0" fillId="0" borderId="0" applyFont="0" applyFill="0" applyBorder="0" applyAlignment="0" applyProtection="0"/>
    <xf numFmtId="4" fontId="37" fillId="0" borderId="0" applyFill="0" applyBorder="0" applyAlignment="0" applyProtection="0"/>
    <xf numFmtId="0" fontId="37" fillId="0" borderId="0" applyNumberFormat="0" applyFill="0" applyBorder="0" applyAlignment="0" applyProtection="0"/>
    <xf numFmtId="0" fontId="37" fillId="0" borderId="0">
      <alignment/>
      <protection/>
    </xf>
    <xf numFmtId="0" fontId="37" fillId="0" borderId="0">
      <alignment/>
      <protection/>
    </xf>
    <xf numFmtId="0" fontId="37" fillId="0" borderId="0">
      <alignment/>
      <protection/>
    </xf>
    <xf numFmtId="0" fontId="43" fillId="0" borderId="0" applyNumberFormat="0" applyFill="0" applyBorder="0" applyAlignment="0" applyProtection="0"/>
    <xf numFmtId="0" fontId="44" fillId="0" borderId="8" applyNumberFormat="0" applyFill="0" applyAlignment="0" applyProtection="0"/>
    <xf numFmtId="0" fontId="4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314">
    <xf numFmtId="0" fontId="0" fillId="0" borderId="0" xfId="0" applyAlignment="1">
      <alignment/>
    </xf>
    <xf numFmtId="0" fontId="0" fillId="0" borderId="0" xfId="0" applyAlignment="1">
      <alignment horizontal="right"/>
    </xf>
    <xf numFmtId="0" fontId="2" fillId="0" borderId="0" xfId="0" applyFont="1" applyAlignment="1">
      <alignment/>
    </xf>
    <xf numFmtId="0" fontId="0" fillId="24" borderId="0" xfId="0" applyFill="1" applyAlignment="1">
      <alignment/>
    </xf>
    <xf numFmtId="0" fontId="0" fillId="24" borderId="10" xfId="0" applyNumberFormat="1" applyFill="1" applyBorder="1" applyAlignment="1" applyProtection="1">
      <alignment/>
      <protection locked="0"/>
    </xf>
    <xf numFmtId="0" fontId="9" fillId="24" borderId="0" xfId="0" applyFont="1" applyFill="1" applyAlignment="1">
      <alignment/>
    </xf>
    <xf numFmtId="14" fontId="0" fillId="24" borderId="10" xfId="0" applyNumberFormat="1" applyFill="1" applyBorder="1" applyAlignment="1" applyProtection="1">
      <alignment/>
      <protection locked="0"/>
    </xf>
    <xf numFmtId="0" fontId="1" fillId="24" borderId="0" xfId="0" applyFont="1" applyFill="1" applyAlignment="1">
      <alignment/>
    </xf>
    <xf numFmtId="0" fontId="9" fillId="24" borderId="0" xfId="0" applyFont="1" applyFill="1" applyAlignment="1">
      <alignment/>
    </xf>
    <xf numFmtId="14" fontId="0" fillId="24" borderId="0" xfId="0" applyNumberFormat="1" applyFill="1" applyBorder="1" applyAlignment="1" applyProtection="1">
      <alignment/>
      <protection/>
    </xf>
    <xf numFmtId="0" fontId="0" fillId="24" borderId="0" xfId="0" applyNumberFormat="1" applyFill="1" applyBorder="1" applyAlignment="1" applyProtection="1">
      <alignment/>
      <protection/>
    </xf>
    <xf numFmtId="0" fontId="0" fillId="24" borderId="0" xfId="0" applyFill="1" applyAlignment="1">
      <alignment wrapText="1"/>
    </xf>
    <xf numFmtId="0" fontId="0" fillId="24" borderId="0" xfId="0" applyFill="1" applyAlignment="1">
      <alignment horizontal="right"/>
    </xf>
    <xf numFmtId="44" fontId="0" fillId="24" borderId="10" xfId="64" applyFill="1" applyBorder="1" applyAlignment="1" applyProtection="1">
      <alignment/>
      <protection locked="0"/>
    </xf>
    <xf numFmtId="0" fontId="11" fillId="24" borderId="0" xfId="0" applyFont="1" applyFill="1" applyAlignment="1">
      <alignment/>
    </xf>
    <xf numFmtId="0" fontId="14" fillId="15" borderId="0" xfId="0" applyFont="1" applyFill="1" applyAlignment="1">
      <alignment/>
    </xf>
    <xf numFmtId="0" fontId="0" fillId="0" borderId="0" xfId="0" applyNumberFormat="1" applyAlignment="1">
      <alignment/>
    </xf>
    <xf numFmtId="1" fontId="0" fillId="0" borderId="0" xfId="0" applyNumberFormat="1" applyAlignment="1">
      <alignment/>
    </xf>
    <xf numFmtId="178" fontId="0" fillId="0" borderId="0" xfId="0" applyNumberFormat="1" applyAlignment="1">
      <alignment/>
    </xf>
    <xf numFmtId="14" fontId="0" fillId="0" borderId="0" xfId="0" applyNumberFormat="1" applyAlignment="1">
      <alignment/>
    </xf>
    <xf numFmtId="186" fontId="0" fillId="0" borderId="0" xfId="0" applyNumberFormat="1" applyAlignment="1">
      <alignment/>
    </xf>
    <xf numFmtId="0" fontId="15" fillId="15" borderId="0" xfId="0" applyFont="1" applyFill="1" applyAlignment="1">
      <alignment horizontal="center"/>
    </xf>
    <xf numFmtId="10" fontId="0" fillId="0" borderId="0" xfId="55" applyNumberFormat="1" applyAlignment="1">
      <alignment/>
    </xf>
    <xf numFmtId="0" fontId="0" fillId="0" borderId="0" xfId="0" applyAlignment="1">
      <alignment horizontal="left"/>
    </xf>
    <xf numFmtId="0" fontId="11" fillId="0" borderId="0" xfId="0" applyFont="1" applyAlignment="1">
      <alignment horizontal="right"/>
    </xf>
    <xf numFmtId="0" fontId="0" fillId="24" borderId="0" xfId="0" applyFill="1" applyAlignment="1" applyProtection="1">
      <alignment/>
      <protection/>
    </xf>
    <xf numFmtId="0" fontId="0" fillId="24" borderId="0" xfId="0" applyFill="1" applyAlignment="1" applyProtection="1">
      <alignment horizontal="right"/>
      <protection/>
    </xf>
    <xf numFmtId="0" fontId="17" fillId="0" borderId="0" xfId="0" applyFont="1" applyAlignment="1">
      <alignment/>
    </xf>
    <xf numFmtId="178" fontId="0" fillId="24" borderId="10" xfId="0" applyNumberFormat="1" applyFill="1" applyBorder="1" applyAlignment="1" applyProtection="1">
      <alignment/>
      <protection locked="0"/>
    </xf>
    <xf numFmtId="44" fontId="0" fillId="0" borderId="0" xfId="0" applyNumberFormat="1" applyAlignment="1">
      <alignment/>
    </xf>
    <xf numFmtId="0" fontId="19" fillId="24" borderId="0" xfId="0" applyFont="1" applyFill="1" applyAlignment="1">
      <alignment vertical="top"/>
    </xf>
    <xf numFmtId="0" fontId="1" fillId="24" borderId="11" xfId="0" applyFont="1" applyFill="1" applyBorder="1" applyAlignment="1">
      <alignment vertical="top"/>
    </xf>
    <xf numFmtId="0" fontId="1" fillId="24" borderId="0" xfId="0" applyFont="1" applyFill="1" applyAlignment="1">
      <alignment vertical="top"/>
    </xf>
    <xf numFmtId="0" fontId="1" fillId="24" borderId="12" xfId="0" applyFont="1" applyFill="1" applyBorder="1" applyAlignment="1">
      <alignment vertical="top"/>
    </xf>
    <xf numFmtId="0" fontId="1" fillId="24" borderId="0" xfId="0" applyFont="1" applyFill="1" applyBorder="1" applyAlignment="1">
      <alignment vertical="top"/>
    </xf>
    <xf numFmtId="0" fontId="1" fillId="24" borderId="12" xfId="0" applyFont="1" applyFill="1" applyBorder="1" applyAlignment="1">
      <alignment vertical="top" wrapText="1"/>
    </xf>
    <xf numFmtId="49" fontId="20" fillId="24" borderId="12" xfId="0" applyNumberFormat="1" applyFont="1" applyFill="1" applyBorder="1" applyAlignment="1">
      <alignment horizontal="left" vertical="top" wrapText="1"/>
    </xf>
    <xf numFmtId="0" fontId="1" fillId="24" borderId="11" xfId="0" applyFont="1" applyFill="1" applyBorder="1" applyAlignment="1">
      <alignment horizontal="left" vertical="top" wrapText="1"/>
    </xf>
    <xf numFmtId="0" fontId="20" fillId="24" borderId="0" xfId="0" applyFont="1" applyFill="1" applyBorder="1" applyAlignment="1">
      <alignment horizontal="left" vertical="top" wrapText="1"/>
    </xf>
    <xf numFmtId="0" fontId="20" fillId="24" borderId="12" xfId="0" applyFont="1" applyFill="1" applyBorder="1" applyAlignment="1">
      <alignment horizontal="left" vertical="top" wrapText="1"/>
    </xf>
    <xf numFmtId="0" fontId="21" fillId="24" borderId="0" xfId="0" applyFont="1" applyFill="1" applyBorder="1" applyAlignment="1">
      <alignment vertical="top" wrapText="1"/>
    </xf>
    <xf numFmtId="0" fontId="21" fillId="24" borderId="0" xfId="0" applyFont="1" applyFill="1" applyAlignment="1">
      <alignment horizontal="left" vertical="top"/>
    </xf>
    <xf numFmtId="0" fontId="1" fillId="0" borderId="0" xfId="0" applyFont="1" applyAlignment="1">
      <alignment/>
    </xf>
    <xf numFmtId="0" fontId="1" fillId="0" borderId="11" xfId="0" applyFont="1" applyBorder="1" applyAlignment="1">
      <alignment/>
    </xf>
    <xf numFmtId="0" fontId="22" fillId="24" borderId="0" xfId="0" applyFont="1" applyFill="1" applyAlignment="1">
      <alignment horizontal="center" vertical="top"/>
    </xf>
    <xf numFmtId="0" fontId="23" fillId="24" borderId="12" xfId="0" applyFont="1" applyFill="1" applyBorder="1" applyAlignment="1">
      <alignment vertical="top"/>
    </xf>
    <xf numFmtId="0" fontId="23" fillId="24" borderId="11" xfId="0" applyFont="1" applyFill="1" applyBorder="1" applyAlignment="1">
      <alignment vertical="top"/>
    </xf>
    <xf numFmtId="0" fontId="24" fillId="24" borderId="0" xfId="0" applyFont="1" applyFill="1" applyAlignment="1">
      <alignment horizontal="center" vertical="top"/>
    </xf>
    <xf numFmtId="0" fontId="1" fillId="24" borderId="0" xfId="0" applyFont="1" applyFill="1" applyAlignment="1">
      <alignment horizontal="center" vertical="top"/>
    </xf>
    <xf numFmtId="0" fontId="1" fillId="24" borderId="12" xfId="0" applyFont="1" applyFill="1" applyBorder="1" applyAlignment="1">
      <alignment horizontal="center" vertical="top"/>
    </xf>
    <xf numFmtId="0" fontId="1" fillId="24" borderId="11" xfId="0" applyFont="1" applyFill="1" applyBorder="1" applyAlignment="1">
      <alignment horizontal="center" vertical="top"/>
    </xf>
    <xf numFmtId="0" fontId="21" fillId="24" borderId="0" xfId="0" applyFont="1" applyFill="1" applyAlignment="1">
      <alignment vertical="top"/>
    </xf>
    <xf numFmtId="0" fontId="1" fillId="0" borderId="12" xfId="0" applyFont="1" applyBorder="1" applyAlignment="1">
      <alignment/>
    </xf>
    <xf numFmtId="0" fontId="25" fillId="24" borderId="0" xfId="44" applyFont="1" applyFill="1" applyBorder="1" applyAlignment="1">
      <alignment vertical="top"/>
    </xf>
    <xf numFmtId="0" fontId="1" fillId="24" borderId="0" xfId="0" applyFont="1" applyFill="1" applyAlignment="1">
      <alignment horizontal="center" vertical="top" wrapText="1"/>
    </xf>
    <xf numFmtId="0" fontId="1" fillId="24" borderId="12" xfId="0" applyFont="1" applyFill="1" applyBorder="1" applyAlignment="1">
      <alignment horizontal="center" vertical="top" wrapText="1"/>
    </xf>
    <xf numFmtId="0" fontId="1" fillId="24" borderId="0" xfId="0" applyFont="1" applyFill="1" applyBorder="1" applyAlignment="1">
      <alignment horizontal="center" vertical="top" wrapText="1"/>
    </xf>
    <xf numFmtId="0" fontId="1" fillId="24" borderId="0" xfId="0" applyFont="1" applyFill="1" applyAlignment="1">
      <alignment vertical="top" wrapText="1"/>
    </xf>
    <xf numFmtId="0" fontId="1" fillId="24" borderId="0" xfId="0" applyFont="1" applyFill="1" applyBorder="1" applyAlignment="1">
      <alignment vertical="top" wrapText="1"/>
    </xf>
    <xf numFmtId="0" fontId="23" fillId="24" borderId="0" xfId="0" applyFont="1" applyFill="1" applyBorder="1" applyAlignment="1">
      <alignment vertical="top"/>
    </xf>
    <xf numFmtId="0" fontId="23" fillId="24" borderId="0" xfId="0" applyFont="1" applyFill="1" applyAlignment="1">
      <alignment vertical="top"/>
    </xf>
    <xf numFmtId="0" fontId="26" fillId="24" borderId="0" xfId="0" applyFont="1" applyFill="1" applyAlignment="1">
      <alignment horizontal="left" vertical="top" indent="2"/>
    </xf>
    <xf numFmtId="0" fontId="0" fillId="24" borderId="12" xfId="0" applyFill="1" applyBorder="1" applyAlignment="1">
      <alignment/>
    </xf>
    <xf numFmtId="0" fontId="28" fillId="25" borderId="0" xfId="0" applyFont="1" applyFill="1" applyAlignment="1">
      <alignment vertical="top"/>
    </xf>
    <xf numFmtId="0" fontId="12" fillId="25" borderId="12" xfId="0" applyFont="1" applyFill="1" applyBorder="1" applyAlignment="1">
      <alignment vertical="top"/>
    </xf>
    <xf numFmtId="0" fontId="12" fillId="25" borderId="0" xfId="0" applyFont="1" applyFill="1" applyBorder="1" applyAlignment="1">
      <alignment vertical="top"/>
    </xf>
    <xf numFmtId="0" fontId="12" fillId="25" borderId="0" xfId="0" applyFont="1" applyFill="1" applyAlignment="1">
      <alignment vertical="top"/>
    </xf>
    <xf numFmtId="0" fontId="12" fillId="25" borderId="11" xfId="0" applyFont="1" applyFill="1" applyBorder="1" applyAlignment="1">
      <alignment vertical="top"/>
    </xf>
    <xf numFmtId="0" fontId="27" fillId="0" borderId="12" xfId="0" applyFont="1" applyBorder="1" applyAlignment="1">
      <alignment vertical="top"/>
    </xf>
    <xf numFmtId="0" fontId="1" fillId="0" borderId="0" xfId="0" applyFont="1" applyBorder="1" applyAlignment="1">
      <alignment vertical="top"/>
    </xf>
    <xf numFmtId="0" fontId="1" fillId="24" borderId="0" xfId="0" applyNumberFormat="1" applyFont="1" applyFill="1" applyBorder="1" applyAlignment="1">
      <alignment vertical="top" wrapText="1"/>
    </xf>
    <xf numFmtId="0" fontId="1" fillId="24" borderId="12" xfId="0" applyFont="1" applyFill="1" applyBorder="1" applyAlignment="1">
      <alignment vertical="top" wrapText="1"/>
    </xf>
    <xf numFmtId="0" fontId="1" fillId="24" borderId="0" xfId="0" applyFont="1" applyFill="1" applyAlignment="1">
      <alignment horizontal="left" vertical="top" wrapText="1"/>
    </xf>
    <xf numFmtId="0" fontId="27" fillId="24" borderId="12" xfId="0" applyFont="1" applyFill="1" applyBorder="1" applyAlignment="1">
      <alignment vertical="top"/>
    </xf>
    <xf numFmtId="0" fontId="7" fillId="25" borderId="0" xfId="0" applyFont="1" applyFill="1" applyBorder="1" applyAlignment="1">
      <alignment/>
    </xf>
    <xf numFmtId="0" fontId="28" fillId="25" borderId="0" xfId="0" applyFont="1" applyFill="1" applyBorder="1" applyAlignment="1">
      <alignment/>
    </xf>
    <xf numFmtId="0" fontId="29" fillId="25" borderId="0" xfId="0" applyFont="1" applyFill="1" applyBorder="1" applyAlignment="1">
      <alignment/>
    </xf>
    <xf numFmtId="0" fontId="7" fillId="25" borderId="0" xfId="0" applyFont="1" applyFill="1" applyBorder="1" applyAlignment="1">
      <alignment wrapText="1"/>
    </xf>
    <xf numFmtId="0" fontId="7" fillId="25" borderId="0" xfId="0" applyFont="1" applyFill="1" applyBorder="1" applyAlignment="1">
      <alignment horizontal="right" indent="1"/>
    </xf>
    <xf numFmtId="0" fontId="0" fillId="24" borderId="13" xfId="0" applyFont="1" applyFill="1" applyBorder="1" applyAlignment="1">
      <alignment horizontal="right" indent="1"/>
    </xf>
    <xf numFmtId="178" fontId="0" fillId="2" borderId="14" xfId="0" applyNumberFormat="1" applyFont="1" applyFill="1" applyBorder="1" applyAlignment="1">
      <alignment horizontal="right" indent="1"/>
    </xf>
    <xf numFmtId="178" fontId="0" fillId="24" borderId="15" xfId="0" applyNumberFormat="1" applyFont="1" applyFill="1" applyBorder="1" applyAlignment="1">
      <alignment horizontal="right" indent="1"/>
    </xf>
    <xf numFmtId="178" fontId="0" fillId="2" borderId="15" xfId="0" applyNumberFormat="1" applyFont="1" applyFill="1" applyBorder="1" applyAlignment="1">
      <alignment horizontal="right" indent="1"/>
    </xf>
    <xf numFmtId="0" fontId="0" fillId="24" borderId="0" xfId="0" applyFont="1" applyFill="1" applyAlignment="1">
      <alignment/>
    </xf>
    <xf numFmtId="0" fontId="0" fillId="24" borderId="16" xfId="0" applyFont="1" applyFill="1" applyBorder="1" applyAlignment="1">
      <alignment horizontal="right" indent="1"/>
    </xf>
    <xf numFmtId="178" fontId="0" fillId="2" borderId="17" xfId="0" applyNumberFormat="1" applyFont="1" applyFill="1" applyBorder="1" applyAlignment="1">
      <alignment horizontal="right" indent="1"/>
    </xf>
    <xf numFmtId="178" fontId="0" fillId="24" borderId="18" xfId="0" applyNumberFormat="1" applyFont="1" applyFill="1" applyBorder="1" applyAlignment="1">
      <alignment horizontal="right" indent="1"/>
    </xf>
    <xf numFmtId="178" fontId="0" fillId="2" borderId="18" xfId="0" applyNumberFormat="1" applyFont="1" applyFill="1" applyBorder="1" applyAlignment="1">
      <alignment horizontal="right" indent="1"/>
    </xf>
    <xf numFmtId="0" fontId="0" fillId="24" borderId="19" xfId="0" applyFont="1" applyFill="1" applyBorder="1" applyAlignment="1">
      <alignment horizontal="right" indent="1"/>
    </xf>
    <xf numFmtId="178" fontId="0" fillId="2" borderId="20" xfId="0" applyNumberFormat="1" applyFont="1" applyFill="1" applyBorder="1" applyAlignment="1">
      <alignment horizontal="right" indent="1"/>
    </xf>
    <xf numFmtId="178" fontId="0" fillId="24" borderId="21" xfId="0" applyNumberFormat="1" applyFont="1" applyFill="1" applyBorder="1" applyAlignment="1">
      <alignment horizontal="right" indent="1"/>
    </xf>
    <xf numFmtId="178" fontId="0" fillId="2" borderId="21" xfId="0" applyNumberFormat="1" applyFont="1" applyFill="1" applyBorder="1" applyAlignment="1">
      <alignment horizontal="right" indent="1"/>
    </xf>
    <xf numFmtId="0" fontId="0" fillId="24" borderId="12" xfId="0" applyFont="1" applyFill="1" applyBorder="1" applyAlignment="1">
      <alignment/>
    </xf>
    <xf numFmtId="178" fontId="0" fillId="24" borderId="0" xfId="0" applyNumberFormat="1" applyFill="1" applyAlignment="1" applyProtection="1">
      <alignment/>
      <protection/>
    </xf>
    <xf numFmtId="0" fontId="37" fillId="0" borderId="0" xfId="60">
      <alignment/>
      <protection/>
    </xf>
    <xf numFmtId="0" fontId="37" fillId="0" borderId="0" xfId="60" applyProtection="1">
      <alignment/>
      <protection locked="0"/>
    </xf>
    <xf numFmtId="10" fontId="37" fillId="0" borderId="0" xfId="60" applyNumberFormat="1" applyProtection="1">
      <alignment/>
      <protection locked="0"/>
    </xf>
    <xf numFmtId="180" fontId="37" fillId="0" borderId="0" xfId="60" applyNumberFormat="1">
      <alignment/>
      <protection/>
    </xf>
    <xf numFmtId="208" fontId="37" fillId="0" borderId="0" xfId="64" applyNumberFormat="1" applyAlignment="1">
      <alignment/>
    </xf>
    <xf numFmtId="206" fontId="37" fillId="0" borderId="0" xfId="46" applyNumberFormat="1" applyAlignment="1">
      <alignment/>
    </xf>
    <xf numFmtId="9" fontId="37" fillId="0" borderId="0" xfId="60" applyNumberFormat="1">
      <alignment/>
      <protection/>
    </xf>
    <xf numFmtId="0" fontId="37" fillId="0" borderId="0" xfId="60" applyAlignment="1">
      <alignment wrapText="1"/>
      <protection/>
    </xf>
    <xf numFmtId="1" fontId="37" fillId="0" borderId="0" xfId="60" applyNumberFormat="1">
      <alignment/>
      <protection/>
    </xf>
    <xf numFmtId="3" fontId="37" fillId="0" borderId="0" xfId="60" applyNumberFormat="1">
      <alignment/>
      <protection/>
    </xf>
    <xf numFmtId="2" fontId="37" fillId="0" borderId="0" xfId="60" applyNumberFormat="1">
      <alignment/>
      <protection/>
    </xf>
    <xf numFmtId="44" fontId="37" fillId="0" borderId="0" xfId="64" applyAlignment="1">
      <alignment/>
    </xf>
    <xf numFmtId="4" fontId="37" fillId="0" borderId="0" xfId="60" applyNumberFormat="1">
      <alignment/>
      <protection/>
    </xf>
    <xf numFmtId="44" fontId="37" fillId="0" borderId="0" xfId="60" applyNumberFormat="1" applyProtection="1">
      <alignment/>
      <protection locked="0"/>
    </xf>
    <xf numFmtId="10" fontId="52" fillId="0" borderId="0" xfId="60" applyNumberFormat="1" applyFont="1" applyBorder="1" applyAlignment="1">
      <alignment vertical="top" wrapText="1"/>
      <protection/>
    </xf>
    <xf numFmtId="10" fontId="52" fillId="0" borderId="0" xfId="55" applyNumberFormat="1" applyFont="1" applyBorder="1" applyAlignment="1">
      <alignment vertical="top" wrapText="1"/>
    </xf>
    <xf numFmtId="0" fontId="51" fillId="0" borderId="0" xfId="60" applyFont="1" applyBorder="1" applyAlignment="1">
      <alignment vertical="top" wrapText="1"/>
      <protection/>
    </xf>
    <xf numFmtId="0" fontId="52" fillId="0" borderId="0" xfId="60" applyFont="1" applyBorder="1" applyAlignment="1">
      <alignment vertical="top" wrapText="1"/>
      <protection/>
    </xf>
    <xf numFmtId="0" fontId="53" fillId="0" borderId="0" xfId="60" applyFont="1" applyBorder="1" applyAlignment="1">
      <alignment vertical="top" wrapText="1"/>
      <protection/>
    </xf>
    <xf numFmtId="0" fontId="54" fillId="0" borderId="0" xfId="60" applyFont="1" applyBorder="1" applyAlignment="1">
      <alignment vertical="top" wrapText="1"/>
      <protection/>
    </xf>
    <xf numFmtId="0" fontId="37" fillId="0" borderId="0" xfId="60" applyBorder="1">
      <alignment/>
      <protection/>
    </xf>
    <xf numFmtId="10" fontId="51" fillId="0" borderId="0" xfId="60" applyNumberFormat="1" applyFont="1" applyBorder="1" applyAlignment="1">
      <alignment vertical="top" wrapText="1"/>
      <protection/>
    </xf>
    <xf numFmtId="10" fontId="51" fillId="0" borderId="0" xfId="55" applyNumberFormat="1" applyFont="1" applyBorder="1" applyAlignment="1">
      <alignment vertical="top" wrapText="1"/>
    </xf>
    <xf numFmtId="10" fontId="52" fillId="0" borderId="0" xfId="60" applyNumberFormat="1" applyFont="1" applyFill="1" applyBorder="1" applyAlignment="1">
      <alignment vertical="top" wrapText="1"/>
      <protection/>
    </xf>
    <xf numFmtId="10" fontId="52" fillId="0" borderId="0" xfId="55" applyNumberFormat="1" applyFont="1" applyFill="1" applyBorder="1" applyAlignment="1">
      <alignment vertical="top" wrapText="1"/>
    </xf>
    <xf numFmtId="3" fontId="37" fillId="0" borderId="0" xfId="60" applyNumberFormat="1" applyFill="1">
      <alignment/>
      <protection/>
    </xf>
    <xf numFmtId="0" fontId="37" fillId="0" borderId="0" xfId="46" applyNumberFormat="1" applyAlignment="1" applyProtection="1">
      <alignment/>
      <protection locked="0"/>
    </xf>
    <xf numFmtId="1" fontId="0" fillId="24" borderId="10" xfId="0" applyNumberFormat="1" applyFill="1" applyBorder="1" applyAlignment="1" applyProtection="1">
      <alignment/>
      <protection locked="0"/>
    </xf>
    <xf numFmtId="0" fontId="0" fillId="24" borderId="0" xfId="0" applyFill="1" applyAlignment="1">
      <alignment vertical="center"/>
    </xf>
    <xf numFmtId="1" fontId="37" fillId="0" borderId="0" xfId="60" applyNumberFormat="1" applyProtection="1">
      <alignment/>
      <protection locked="0"/>
    </xf>
    <xf numFmtId="0" fontId="37" fillId="0" borderId="0" xfId="60" applyFont="1">
      <alignment/>
      <protection/>
    </xf>
    <xf numFmtId="0" fontId="37" fillId="0" borderId="0" xfId="60" applyNumberFormat="1">
      <alignment/>
      <protection/>
    </xf>
    <xf numFmtId="0" fontId="7" fillId="24" borderId="0" xfId="0" applyFont="1" applyFill="1" applyAlignment="1" applyProtection="1">
      <alignment/>
      <protection/>
    </xf>
    <xf numFmtId="0" fontId="0" fillId="24" borderId="0" xfId="0" applyFill="1" applyBorder="1" applyAlignment="1">
      <alignment/>
    </xf>
    <xf numFmtId="0" fontId="7" fillId="25" borderId="0" xfId="59" applyFont="1" applyFill="1" applyBorder="1">
      <alignment/>
      <protection/>
    </xf>
    <xf numFmtId="0" fontId="28" fillId="25" borderId="0" xfId="59" applyFont="1" applyFill="1" applyBorder="1">
      <alignment/>
      <protection/>
    </xf>
    <xf numFmtId="0" fontId="29" fillId="25" borderId="0" xfId="59" applyFont="1" applyFill="1" applyBorder="1">
      <alignment/>
      <protection/>
    </xf>
    <xf numFmtId="0" fontId="7" fillId="25" borderId="0" xfId="59" applyFont="1" applyFill="1" applyBorder="1" applyAlignment="1">
      <alignment wrapText="1"/>
      <protection/>
    </xf>
    <xf numFmtId="0" fontId="7" fillId="25" borderId="0" xfId="59" applyFont="1" applyFill="1" applyBorder="1" applyAlignment="1">
      <alignment horizontal="right" indent="1"/>
      <protection/>
    </xf>
    <xf numFmtId="0" fontId="0" fillId="24" borderId="13" xfId="59" applyFont="1" applyFill="1" applyBorder="1" applyAlignment="1">
      <alignment horizontal="right" indent="1"/>
      <protection/>
    </xf>
    <xf numFmtId="178" fontId="0" fillId="2" borderId="14" xfId="59" applyNumberFormat="1" applyFont="1" applyFill="1" applyBorder="1" applyAlignment="1">
      <alignment horizontal="right" indent="1"/>
      <protection/>
    </xf>
    <xf numFmtId="178" fontId="0" fillId="24" borderId="15" xfId="59" applyNumberFormat="1" applyFont="1" applyFill="1" applyBorder="1" applyAlignment="1">
      <alignment horizontal="right" indent="1"/>
      <protection/>
    </xf>
    <xf numFmtId="178" fontId="0" fillId="2" borderId="15" xfId="59" applyNumberFormat="1" applyFont="1" applyFill="1" applyBorder="1" applyAlignment="1">
      <alignment horizontal="right" indent="1"/>
      <protection/>
    </xf>
    <xf numFmtId="0" fontId="0" fillId="24" borderId="0" xfId="59" applyFont="1" applyFill="1">
      <alignment/>
      <protection/>
    </xf>
    <xf numFmtId="0" fontId="0" fillId="24" borderId="16" xfId="59" applyFont="1" applyFill="1" applyBorder="1" applyAlignment="1">
      <alignment horizontal="right" indent="1"/>
      <protection/>
    </xf>
    <xf numFmtId="178" fontId="0" fillId="2" borderId="17" xfId="59" applyNumberFormat="1" applyFont="1" applyFill="1" applyBorder="1" applyAlignment="1">
      <alignment horizontal="right" indent="1"/>
      <protection/>
    </xf>
    <xf numFmtId="178" fontId="0" fillId="24" borderId="18" xfId="59" applyNumberFormat="1" applyFont="1" applyFill="1" applyBorder="1" applyAlignment="1">
      <alignment horizontal="right" indent="1"/>
      <protection/>
    </xf>
    <xf numFmtId="178" fontId="0" fillId="2" borderId="18" xfId="59" applyNumberFormat="1" applyFont="1" applyFill="1" applyBorder="1" applyAlignment="1">
      <alignment horizontal="right" indent="1"/>
      <protection/>
    </xf>
    <xf numFmtId="0" fontId="0" fillId="24" borderId="19" xfId="59" applyFont="1" applyFill="1" applyBorder="1" applyAlignment="1">
      <alignment horizontal="right" indent="1"/>
      <protection/>
    </xf>
    <xf numFmtId="178" fontId="0" fillId="2" borderId="20" xfId="59" applyNumberFormat="1" applyFont="1" applyFill="1" applyBorder="1" applyAlignment="1">
      <alignment horizontal="right" indent="1"/>
      <protection/>
    </xf>
    <xf numFmtId="178" fontId="0" fillId="24" borderId="21" xfId="59" applyNumberFormat="1" applyFont="1" applyFill="1" applyBorder="1" applyAlignment="1">
      <alignment horizontal="right" indent="1"/>
      <protection/>
    </xf>
    <xf numFmtId="178" fontId="0" fillId="2" borderId="21" xfId="59" applyNumberFormat="1" applyFont="1" applyFill="1" applyBorder="1" applyAlignment="1">
      <alignment horizontal="right" indent="1"/>
      <protection/>
    </xf>
    <xf numFmtId="2" fontId="37" fillId="0" borderId="0" xfId="60" applyNumberFormat="1" applyFont="1" applyAlignment="1">
      <alignment wrapText="1"/>
      <protection/>
    </xf>
    <xf numFmtId="0" fontId="49" fillId="26" borderId="0" xfId="60" applyFont="1" applyFill="1">
      <alignment/>
      <protection/>
    </xf>
    <xf numFmtId="43" fontId="37" fillId="0" borderId="0" xfId="46" applyNumberFormat="1" applyAlignment="1">
      <alignment/>
    </xf>
    <xf numFmtId="43" fontId="49" fillId="26" borderId="0" xfId="46" applyNumberFormat="1" applyFont="1" applyFill="1" applyAlignment="1">
      <alignment/>
    </xf>
    <xf numFmtId="43" fontId="37" fillId="0" borderId="0" xfId="46" applyNumberFormat="1" applyFont="1" applyAlignment="1">
      <alignment wrapText="1"/>
    </xf>
    <xf numFmtId="43" fontId="37" fillId="0" borderId="0" xfId="46" applyNumberFormat="1" applyFill="1" applyAlignment="1">
      <alignment/>
    </xf>
    <xf numFmtId="0" fontId="7" fillId="24" borderId="0" xfId="0" applyFont="1" applyFill="1" applyAlignment="1">
      <alignment/>
    </xf>
    <xf numFmtId="178" fontId="0" fillId="0" borderId="22" xfId="0" applyNumberFormat="1" applyBorder="1" applyAlignment="1">
      <alignment/>
    </xf>
    <xf numFmtId="0" fontId="0" fillId="24" borderId="23" xfId="0" applyFill="1" applyBorder="1" applyAlignment="1" applyProtection="1">
      <alignment/>
      <protection/>
    </xf>
    <xf numFmtId="0" fontId="0" fillId="24" borderId="24" xfId="0" applyFill="1" applyBorder="1" applyAlignment="1" applyProtection="1">
      <alignment/>
      <protection/>
    </xf>
    <xf numFmtId="0" fontId="0" fillId="24" borderId="25" xfId="0" applyFill="1" applyBorder="1" applyAlignment="1" applyProtection="1">
      <alignment/>
      <protection/>
    </xf>
    <xf numFmtId="178" fontId="0" fillId="24" borderId="25" xfId="0" applyNumberFormat="1" applyFill="1" applyBorder="1" applyAlignment="1" applyProtection="1">
      <alignment/>
      <protection/>
    </xf>
    <xf numFmtId="0" fontId="0" fillId="24" borderId="26" xfId="0" applyFill="1" applyBorder="1" applyAlignment="1" applyProtection="1">
      <alignment/>
      <protection/>
    </xf>
    <xf numFmtId="0" fontId="0" fillId="24" borderId="27" xfId="0" applyFill="1" applyBorder="1" applyAlignment="1" applyProtection="1">
      <alignment/>
      <protection/>
    </xf>
    <xf numFmtId="0" fontId="10" fillId="24" borderId="0" xfId="0" applyFont="1" applyFill="1" applyAlignment="1" applyProtection="1">
      <alignment/>
      <protection/>
    </xf>
    <xf numFmtId="0" fontId="0" fillId="24" borderId="28" xfId="0" applyFill="1" applyBorder="1" applyAlignment="1">
      <alignment/>
    </xf>
    <xf numFmtId="0" fontId="0" fillId="24" borderId="25" xfId="0" applyFill="1" applyBorder="1" applyAlignment="1">
      <alignment/>
    </xf>
    <xf numFmtId="0" fontId="0" fillId="24" borderId="27" xfId="0" applyFill="1" applyBorder="1" applyAlignment="1">
      <alignment/>
    </xf>
    <xf numFmtId="0" fontId="0" fillId="24" borderId="29" xfId="0" applyFill="1" applyBorder="1" applyAlignment="1">
      <alignment/>
    </xf>
    <xf numFmtId="0" fontId="0" fillId="24" borderId="29" xfId="0" applyFill="1" applyBorder="1" applyAlignment="1">
      <alignment vertical="center"/>
    </xf>
    <xf numFmtId="0" fontId="0" fillId="24" borderId="30" xfId="0" applyFill="1" applyBorder="1" applyAlignment="1">
      <alignment/>
    </xf>
    <xf numFmtId="0" fontId="13" fillId="24" borderId="0" xfId="0" applyFont="1" applyFill="1" applyBorder="1" applyAlignment="1">
      <alignment horizontal="left" indent="1"/>
    </xf>
    <xf numFmtId="0" fontId="13" fillId="24" borderId="0" xfId="0" applyFont="1" applyFill="1" applyBorder="1" applyAlignment="1">
      <alignment/>
    </xf>
    <xf numFmtId="0" fontId="13" fillId="24" borderId="0" xfId="0" applyFont="1" applyFill="1" applyBorder="1" applyAlignment="1">
      <alignment horizontal="center"/>
    </xf>
    <xf numFmtId="0" fontId="13" fillId="24" borderId="28" xfId="0" applyFont="1" applyFill="1" applyBorder="1" applyAlignment="1">
      <alignment/>
    </xf>
    <xf numFmtId="44" fontId="13" fillId="24" borderId="0" xfId="64" applyFont="1" applyFill="1" applyBorder="1" applyAlignment="1">
      <alignment/>
    </xf>
    <xf numFmtId="0" fontId="0" fillId="0" borderId="0" xfId="0" applyAlignment="1">
      <alignment horizontal="center"/>
    </xf>
    <xf numFmtId="0" fontId="7" fillId="0" borderId="0" xfId="0" applyFont="1" applyFill="1" applyAlignment="1" applyProtection="1">
      <alignment/>
      <protection/>
    </xf>
    <xf numFmtId="0" fontId="8" fillId="0" borderId="0" xfId="0" applyFont="1" applyFill="1" applyAlignment="1" applyProtection="1">
      <alignment/>
      <protection/>
    </xf>
    <xf numFmtId="0" fontId="12" fillId="0" borderId="0" xfId="0" applyFont="1" applyFill="1" applyAlignment="1">
      <alignment vertical="top"/>
    </xf>
    <xf numFmtId="0" fontId="18" fillId="0" borderId="0" xfId="0" applyFont="1" applyFill="1" applyAlignment="1">
      <alignment vertical="top"/>
    </xf>
    <xf numFmtId="0" fontId="7" fillId="0" borderId="0" xfId="0" applyFont="1" applyFill="1" applyAlignment="1">
      <alignment/>
    </xf>
    <xf numFmtId="0" fontId="8" fillId="0" borderId="0" xfId="0" applyFont="1" applyFill="1" applyAlignment="1">
      <alignment/>
    </xf>
    <xf numFmtId="0" fontId="56" fillId="24" borderId="0" xfId="0" applyFont="1" applyFill="1" applyAlignment="1">
      <alignment/>
    </xf>
    <xf numFmtId="0" fontId="56" fillId="24" borderId="0" xfId="0" applyFont="1" applyFill="1" applyBorder="1" applyAlignment="1">
      <alignment/>
    </xf>
    <xf numFmtId="0" fontId="10" fillId="24" borderId="0" xfId="0" applyFont="1" applyFill="1" applyAlignment="1">
      <alignment horizontal="center"/>
    </xf>
    <xf numFmtId="0" fontId="10" fillId="24" borderId="0" xfId="0" applyFont="1" applyFill="1" applyBorder="1" applyAlignment="1">
      <alignment horizontal="center"/>
    </xf>
    <xf numFmtId="0" fontId="57" fillId="24" borderId="0" xfId="0" applyFont="1" applyFill="1" applyBorder="1" applyAlignment="1">
      <alignment horizontal="center"/>
    </xf>
    <xf numFmtId="0" fontId="0" fillId="24" borderId="0" xfId="0" applyFill="1" applyAlignment="1">
      <alignment vertical="top" wrapText="1"/>
    </xf>
    <xf numFmtId="0" fontId="10" fillId="24" borderId="0" xfId="0" applyFont="1" applyFill="1" applyAlignment="1">
      <alignment vertical="top" wrapText="1"/>
    </xf>
    <xf numFmtId="0" fontId="59" fillId="0" borderId="0" xfId="0" applyFont="1" applyAlignment="1">
      <alignment/>
    </xf>
    <xf numFmtId="0" fontId="60" fillId="0" borderId="0" xfId="0" applyFont="1" applyAlignment="1">
      <alignment vertical="top" wrapText="1"/>
    </xf>
    <xf numFmtId="0" fontId="60" fillId="0" borderId="0" xfId="0" applyFont="1" applyBorder="1" applyAlignment="1">
      <alignment vertical="top" wrapText="1"/>
    </xf>
    <xf numFmtId="0" fontId="60" fillId="0" borderId="0" xfId="0" applyFont="1" applyAlignment="1">
      <alignment horizontal="center" vertical="center" wrapText="1"/>
    </xf>
    <xf numFmtId="44" fontId="0" fillId="0" borderId="0" xfId="64" applyAlignment="1">
      <alignment/>
    </xf>
    <xf numFmtId="0" fontId="1" fillId="24" borderId="11" xfId="0" applyFont="1" applyFill="1" applyBorder="1" applyAlignment="1">
      <alignment horizontal="left" vertical="top" wrapText="1"/>
    </xf>
    <xf numFmtId="44" fontId="0" fillId="0" borderId="0" xfId="64" applyAlignment="1">
      <alignment vertical="top" wrapText="1"/>
    </xf>
    <xf numFmtId="10" fontId="0" fillId="0" borderId="0" xfId="0" applyNumberFormat="1" applyAlignment="1">
      <alignment vertical="top" wrapText="1"/>
    </xf>
    <xf numFmtId="9" fontId="0" fillId="0" borderId="0" xfId="0" applyNumberFormat="1" applyAlignment="1">
      <alignment vertical="top" wrapText="1"/>
    </xf>
    <xf numFmtId="0" fontId="0" fillId="0" borderId="0" xfId="0" applyBorder="1" applyAlignment="1">
      <alignment/>
    </xf>
    <xf numFmtId="10" fontId="0" fillId="0" borderId="0" xfId="0" applyNumberFormat="1" applyBorder="1" applyAlignment="1">
      <alignment/>
    </xf>
    <xf numFmtId="0" fontId="1" fillId="24" borderId="12" xfId="0" applyFont="1" applyFill="1" applyBorder="1" applyAlignment="1">
      <alignment vertical="top"/>
    </xf>
    <xf numFmtId="0" fontId="10" fillId="24" borderId="31" xfId="0" applyFont="1" applyFill="1" applyBorder="1" applyAlignment="1" applyProtection="1">
      <alignment/>
      <protection/>
    </xf>
    <xf numFmtId="178" fontId="0" fillId="24" borderId="14" xfId="0" applyNumberFormat="1" applyFont="1" applyFill="1" applyBorder="1" applyAlignment="1">
      <alignment horizontal="right" indent="1"/>
    </xf>
    <xf numFmtId="178" fontId="0" fillId="24" borderId="17" xfId="0" applyNumberFormat="1" applyFont="1" applyFill="1" applyBorder="1" applyAlignment="1">
      <alignment horizontal="right" indent="1"/>
    </xf>
    <xf numFmtId="178" fontId="0" fillId="24" borderId="32" xfId="0" applyNumberFormat="1" applyFont="1" applyFill="1" applyBorder="1" applyAlignment="1">
      <alignment horizontal="right" indent="1"/>
    </xf>
    <xf numFmtId="0" fontId="7" fillId="25" borderId="33" xfId="0" applyFont="1" applyFill="1" applyBorder="1" applyAlignment="1">
      <alignment/>
    </xf>
    <xf numFmtId="0" fontId="7" fillId="25" borderId="33" xfId="0" applyFont="1" applyFill="1" applyBorder="1" applyAlignment="1">
      <alignment horizontal="right" indent="1"/>
    </xf>
    <xf numFmtId="178" fontId="0" fillId="2" borderId="34" xfId="0" applyNumberFormat="1" applyFont="1" applyFill="1" applyBorder="1" applyAlignment="1">
      <alignment horizontal="right" indent="1"/>
    </xf>
    <xf numFmtId="178" fontId="0" fillId="2" borderId="35" xfId="0" applyNumberFormat="1" applyFont="1" applyFill="1" applyBorder="1" applyAlignment="1">
      <alignment horizontal="right" indent="1"/>
    </xf>
    <xf numFmtId="178" fontId="0" fillId="2" borderId="36" xfId="0" applyNumberFormat="1" applyFont="1" applyFill="1" applyBorder="1" applyAlignment="1">
      <alignment horizontal="right" indent="1"/>
    </xf>
    <xf numFmtId="0" fontId="0" fillId="24" borderId="33" xfId="0" applyFont="1" applyFill="1" applyBorder="1" applyAlignment="1">
      <alignment/>
    </xf>
    <xf numFmtId="0" fontId="7" fillId="25" borderId="33" xfId="59" applyFont="1" applyFill="1" applyBorder="1">
      <alignment/>
      <protection/>
    </xf>
    <xf numFmtId="0" fontId="7" fillId="25" borderId="33" xfId="59" applyFont="1" applyFill="1" applyBorder="1" applyAlignment="1">
      <alignment horizontal="right" indent="1"/>
      <protection/>
    </xf>
    <xf numFmtId="178" fontId="0" fillId="2" borderId="34" xfId="59" applyNumberFormat="1" applyFont="1" applyFill="1" applyBorder="1" applyAlignment="1">
      <alignment horizontal="right" indent="1"/>
      <protection/>
    </xf>
    <xf numFmtId="178" fontId="0" fillId="2" borderId="35" xfId="59" applyNumberFormat="1" applyFont="1" applyFill="1" applyBorder="1" applyAlignment="1">
      <alignment horizontal="right" indent="1"/>
      <protection/>
    </xf>
    <xf numFmtId="178" fontId="0" fillId="2" borderId="36" xfId="59" applyNumberFormat="1" applyFont="1" applyFill="1" applyBorder="1" applyAlignment="1">
      <alignment horizontal="right" indent="1"/>
      <protection/>
    </xf>
    <xf numFmtId="0" fontId="0" fillId="24" borderId="33" xfId="59" applyFont="1" applyFill="1" applyBorder="1">
      <alignment/>
      <protection/>
    </xf>
    <xf numFmtId="43" fontId="37" fillId="0" borderId="0" xfId="46" applyAlignment="1">
      <alignment/>
    </xf>
    <xf numFmtId="0" fontId="37" fillId="11" borderId="0" xfId="60" applyFill="1">
      <alignment/>
      <protection/>
    </xf>
    <xf numFmtId="0" fontId="37" fillId="11" borderId="0" xfId="60" applyFont="1" applyFill="1">
      <alignment/>
      <protection/>
    </xf>
    <xf numFmtId="0" fontId="37" fillId="26" borderId="0" xfId="60" applyFill="1">
      <alignment/>
      <protection/>
    </xf>
    <xf numFmtId="178" fontId="37" fillId="0" borderId="0" xfId="60" applyNumberFormat="1" applyFill="1">
      <alignment/>
      <protection/>
    </xf>
    <xf numFmtId="2" fontId="61" fillId="27" borderId="0" xfId="60" applyNumberFormat="1" applyFont="1" applyFill="1">
      <alignment/>
      <protection/>
    </xf>
    <xf numFmtId="0" fontId="27" fillId="24" borderId="12" xfId="0" applyFont="1" applyFill="1" applyBorder="1" applyAlignment="1">
      <alignment vertical="top" wrapText="1"/>
    </xf>
    <xf numFmtId="178" fontId="7" fillId="24" borderId="0" xfId="0" applyNumberFormat="1" applyFont="1" applyFill="1" applyAlignment="1" applyProtection="1">
      <alignment/>
      <protection/>
    </xf>
    <xf numFmtId="0" fontId="37" fillId="0" borderId="0" xfId="60" applyFont="1" applyAlignment="1">
      <alignment wrapText="1"/>
      <protection/>
    </xf>
    <xf numFmtId="44" fontId="37" fillId="0" borderId="0" xfId="60" applyNumberFormat="1" applyFont="1">
      <alignment/>
      <protection/>
    </xf>
    <xf numFmtId="210" fontId="37" fillId="0" borderId="0" xfId="60" applyNumberFormat="1" applyFill="1" applyBorder="1">
      <alignment/>
      <protection/>
    </xf>
    <xf numFmtId="44" fontId="37" fillId="0" borderId="0" xfId="60" applyNumberFormat="1" applyFill="1" applyBorder="1">
      <alignment/>
      <protection/>
    </xf>
    <xf numFmtId="44" fontId="37" fillId="0" borderId="0" xfId="64" applyFill="1" applyBorder="1" applyAlignment="1">
      <alignment/>
    </xf>
    <xf numFmtId="44" fontId="37" fillId="0" borderId="0" xfId="64" applyFill="1" applyAlignment="1">
      <alignment/>
    </xf>
    <xf numFmtId="44" fontId="37" fillId="0" borderId="0" xfId="60" applyNumberFormat="1">
      <alignment/>
      <protection/>
    </xf>
    <xf numFmtId="205" fontId="37" fillId="0" borderId="0" xfId="46" applyNumberFormat="1" applyAlignment="1">
      <alignment/>
    </xf>
    <xf numFmtId="44" fontId="11" fillId="24" borderId="0" xfId="64" applyFont="1" applyFill="1" applyBorder="1" applyAlignment="1">
      <alignment horizontal="center"/>
    </xf>
    <xf numFmtId="44" fontId="37" fillId="0" borderId="0" xfId="64" applyFill="1" applyAlignment="1">
      <alignment wrapText="1"/>
    </xf>
    <xf numFmtId="44" fontId="37" fillId="0" borderId="0" xfId="64" applyAlignment="1">
      <alignment wrapText="1"/>
    </xf>
    <xf numFmtId="44" fontId="49" fillId="25" borderId="0" xfId="64" applyFont="1" applyFill="1" applyAlignment="1">
      <alignment horizontal="center"/>
    </xf>
    <xf numFmtId="44" fontId="37" fillId="0" borderId="0" xfId="64" applyFont="1" applyAlignment="1">
      <alignment wrapText="1"/>
    </xf>
    <xf numFmtId="44" fontId="37" fillId="22" borderId="0" xfId="64" applyFill="1" applyAlignment="1">
      <alignment/>
    </xf>
    <xf numFmtId="44" fontId="37" fillId="22" borderId="0" xfId="64" applyFill="1" applyAlignment="1">
      <alignment wrapText="1"/>
    </xf>
    <xf numFmtId="0" fontId="0" fillId="24" borderId="0" xfId="0" applyFill="1" applyAlignment="1">
      <alignment horizontal="left" wrapText="1"/>
    </xf>
    <xf numFmtId="178" fontId="37" fillId="0" borderId="0" xfId="60" applyNumberFormat="1">
      <alignment/>
      <protection/>
    </xf>
    <xf numFmtId="0" fontId="1" fillId="24" borderId="0" xfId="0" applyFont="1" applyFill="1" applyAlignment="1">
      <alignment horizontal="center"/>
    </xf>
    <xf numFmtId="178" fontId="0" fillId="0" borderId="0" xfId="0" applyNumberFormat="1" applyBorder="1" applyAlignment="1">
      <alignment/>
    </xf>
    <xf numFmtId="178" fontId="0" fillId="0" borderId="0" xfId="0" applyNumberFormat="1" applyFill="1" applyBorder="1" applyAlignment="1">
      <alignment/>
    </xf>
    <xf numFmtId="0" fontId="10" fillId="0" borderId="0" xfId="0" applyFont="1" applyAlignment="1">
      <alignment/>
    </xf>
    <xf numFmtId="178" fontId="0" fillId="0" borderId="0" xfId="0" applyNumberFormat="1" applyAlignment="1">
      <alignment horizontal="right"/>
    </xf>
    <xf numFmtId="0" fontId="10" fillId="24" borderId="37" xfId="0" applyFont="1" applyFill="1" applyBorder="1" applyAlignment="1" applyProtection="1">
      <alignment/>
      <protection/>
    </xf>
    <xf numFmtId="0" fontId="10" fillId="24" borderId="0" xfId="0" applyFont="1" applyFill="1" applyBorder="1" applyAlignment="1" applyProtection="1">
      <alignment/>
      <protection/>
    </xf>
    <xf numFmtId="0" fontId="10" fillId="24" borderId="28" xfId="0" applyFont="1" applyFill="1" applyBorder="1" applyAlignment="1" applyProtection="1">
      <alignment/>
      <protection/>
    </xf>
    <xf numFmtId="0" fontId="0" fillId="24" borderId="38" xfId="59" applyFont="1" applyFill="1" applyBorder="1" applyAlignment="1">
      <alignment horizontal="right" indent="1"/>
      <protection/>
    </xf>
    <xf numFmtId="178" fontId="0" fillId="24" borderId="17" xfId="59" applyNumberFormat="1" applyFont="1" applyFill="1" applyBorder="1" applyAlignment="1">
      <alignment horizontal="right" indent="1"/>
      <protection/>
    </xf>
    <xf numFmtId="178" fontId="0" fillId="2" borderId="39" xfId="59" applyNumberFormat="1" applyFont="1" applyFill="1" applyBorder="1" applyAlignment="1">
      <alignment horizontal="right" indent="1"/>
      <protection/>
    </xf>
    <xf numFmtId="178" fontId="0" fillId="2" borderId="40" xfId="59" applyNumberFormat="1" applyFont="1" applyFill="1" applyBorder="1" applyAlignment="1">
      <alignment horizontal="right" indent="1"/>
      <protection/>
    </xf>
    <xf numFmtId="178" fontId="0" fillId="24" borderId="14" xfId="59" applyNumberFormat="1" applyFont="1" applyFill="1" applyBorder="1" applyAlignment="1">
      <alignment horizontal="right" indent="1"/>
      <protection/>
    </xf>
    <xf numFmtId="178" fontId="0" fillId="24" borderId="39" xfId="59" applyNumberFormat="1" applyFont="1" applyFill="1" applyBorder="1" applyAlignment="1">
      <alignment horizontal="right" indent="1"/>
      <protection/>
    </xf>
    <xf numFmtId="178" fontId="0" fillId="24" borderId="41" xfId="59" applyNumberFormat="1" applyFont="1" applyFill="1" applyBorder="1" applyAlignment="1">
      <alignment horizontal="right" indent="1"/>
      <protection/>
    </xf>
    <xf numFmtId="178" fontId="0" fillId="2" borderId="42" xfId="59" applyNumberFormat="1" applyFont="1" applyFill="1" applyBorder="1" applyAlignment="1">
      <alignment horizontal="right" indent="1"/>
      <protection/>
    </xf>
    <xf numFmtId="178" fontId="0" fillId="2" borderId="41" xfId="59" applyNumberFormat="1" applyFont="1" applyFill="1" applyBorder="1" applyAlignment="1">
      <alignment horizontal="right" indent="1"/>
      <protection/>
    </xf>
    <xf numFmtId="0" fontId="0" fillId="24" borderId="38" xfId="0" applyFont="1" applyFill="1" applyBorder="1" applyAlignment="1">
      <alignment horizontal="right" indent="1"/>
    </xf>
    <xf numFmtId="178" fontId="0" fillId="2" borderId="39" xfId="0" applyNumberFormat="1" applyFont="1" applyFill="1" applyBorder="1" applyAlignment="1">
      <alignment horizontal="right" indent="1"/>
    </xf>
    <xf numFmtId="178" fontId="0" fillId="2" borderId="40" xfId="0" applyNumberFormat="1" applyFont="1" applyFill="1" applyBorder="1" applyAlignment="1">
      <alignment horizontal="right" indent="1"/>
    </xf>
    <xf numFmtId="178" fontId="0" fillId="24" borderId="39" xfId="0" applyNumberFormat="1" applyFont="1" applyFill="1" applyBorder="1" applyAlignment="1">
      <alignment horizontal="right" indent="1"/>
    </xf>
    <xf numFmtId="178" fontId="0" fillId="24" borderId="41" xfId="0" applyNumberFormat="1" applyFont="1" applyFill="1" applyBorder="1" applyAlignment="1">
      <alignment horizontal="right" indent="1"/>
    </xf>
    <xf numFmtId="178" fontId="0" fillId="2" borderId="42" xfId="0" applyNumberFormat="1" applyFont="1" applyFill="1" applyBorder="1" applyAlignment="1">
      <alignment horizontal="right" indent="1"/>
    </xf>
    <xf numFmtId="178" fontId="0" fillId="2" borderId="41" xfId="0" applyNumberFormat="1" applyFont="1" applyFill="1" applyBorder="1" applyAlignment="1">
      <alignment horizontal="right" indent="1"/>
    </xf>
    <xf numFmtId="0" fontId="0" fillId="24" borderId="0" xfId="0" applyFill="1" applyAlignment="1" applyProtection="1">
      <alignment horizontal="left"/>
      <protection/>
    </xf>
    <xf numFmtId="206" fontId="0" fillId="0" borderId="0" xfId="46" applyNumberFormat="1" applyAlignment="1">
      <alignment/>
    </xf>
    <xf numFmtId="206" fontId="0" fillId="0" borderId="0" xfId="0" applyNumberFormat="1" applyAlignment="1">
      <alignment/>
    </xf>
    <xf numFmtId="43" fontId="13" fillId="24" borderId="0" xfId="46" applyNumberFormat="1" applyFont="1" applyFill="1" applyBorder="1" applyAlignment="1">
      <alignment/>
    </xf>
    <xf numFmtId="0" fontId="64" fillId="15" borderId="0" xfId="0" applyFont="1" applyFill="1" applyAlignment="1">
      <alignment/>
    </xf>
    <xf numFmtId="0" fontId="37" fillId="0" borderId="0" xfId="58">
      <alignment/>
      <protection/>
    </xf>
    <xf numFmtId="0" fontId="37" fillId="0" borderId="0" xfId="58" applyAlignment="1">
      <alignment horizontal="center" vertical="center"/>
      <protection/>
    </xf>
    <xf numFmtId="0" fontId="37" fillId="0" borderId="0" xfId="58" applyAlignment="1">
      <alignment horizontal="right"/>
      <protection/>
    </xf>
    <xf numFmtId="0" fontId="37" fillId="0" borderId="0" xfId="58" applyFont="1">
      <alignment/>
      <protection/>
    </xf>
    <xf numFmtId="14" fontId="37" fillId="0" borderId="0" xfId="58" applyNumberFormat="1">
      <alignment/>
      <protection/>
    </xf>
    <xf numFmtId="0" fontId="0" fillId="24" borderId="0" xfId="0" applyFill="1" applyAlignment="1" applyProtection="1">
      <alignment horizontal="left" indent="1"/>
      <protection/>
    </xf>
    <xf numFmtId="0" fontId="6" fillId="24" borderId="0" xfId="44" applyFill="1" applyAlignment="1">
      <alignment vertical="top" wrapText="1"/>
    </xf>
    <xf numFmtId="0" fontId="59" fillId="0" borderId="0" xfId="60" applyFont="1">
      <alignment/>
      <protection/>
    </xf>
    <xf numFmtId="205" fontId="37" fillId="0" borderId="0" xfId="46" applyNumberFormat="1" applyFill="1" applyAlignment="1">
      <alignment/>
    </xf>
    <xf numFmtId="0" fontId="62" fillId="24" borderId="0" xfId="0" applyFont="1" applyFill="1" applyBorder="1" applyAlignment="1">
      <alignment horizontal="right"/>
    </xf>
    <xf numFmtId="2" fontId="0" fillId="0" borderId="0" xfId="0" applyNumberFormat="1" applyAlignment="1">
      <alignment/>
    </xf>
    <xf numFmtId="43" fontId="0" fillId="0" borderId="0" xfId="46" applyNumberFormat="1" applyAlignment="1">
      <alignment horizontal="left" indent="3"/>
    </xf>
    <xf numFmtId="0" fontId="0" fillId="24" borderId="43" xfId="0" applyFont="1" applyFill="1" applyBorder="1" applyAlignment="1">
      <alignment horizontal="right" indent="1"/>
    </xf>
    <xf numFmtId="1" fontId="0" fillId="24" borderId="0" xfId="0" applyNumberFormat="1" applyFill="1" applyBorder="1" applyAlignment="1" applyProtection="1">
      <alignment/>
      <protection locked="0"/>
    </xf>
    <xf numFmtId="205" fontId="37" fillId="0" borderId="0" xfId="60" applyNumberFormat="1">
      <alignment/>
      <protection/>
    </xf>
    <xf numFmtId="0" fontId="0" fillId="0" borderId="0" xfId="0" applyAlignment="1" applyProtection="1">
      <alignment horizontal="right"/>
      <protection locked="0"/>
    </xf>
    <xf numFmtId="0" fontId="63" fillId="24" borderId="0" xfId="0" applyFont="1" applyFill="1" applyAlignment="1">
      <alignment/>
    </xf>
    <xf numFmtId="0" fontId="0" fillId="24" borderId="10" xfId="64" applyNumberFormat="1" applyFill="1" applyBorder="1" applyAlignment="1" applyProtection="1">
      <alignment/>
      <protection locked="0"/>
    </xf>
    <xf numFmtId="0" fontId="0" fillId="24" borderId="0" xfId="0" applyNumberFormat="1" applyFill="1" applyAlignment="1">
      <alignment/>
    </xf>
    <xf numFmtId="178" fontId="67" fillId="2" borderId="18" xfId="0" applyNumberFormat="1" applyFont="1" applyFill="1" applyBorder="1" applyAlignment="1">
      <alignment horizontal="right" indent="1"/>
    </xf>
    <xf numFmtId="178" fontId="67" fillId="24" borderId="18" xfId="0" applyNumberFormat="1" applyFont="1" applyFill="1" applyBorder="1" applyAlignment="1">
      <alignment horizontal="right" indent="1"/>
    </xf>
    <xf numFmtId="0" fontId="68" fillId="24" borderId="0" xfId="0" applyFont="1" applyFill="1" applyAlignment="1">
      <alignment/>
    </xf>
    <xf numFmtId="0" fontId="1" fillId="24" borderId="0" xfId="0" applyFont="1" applyFill="1" applyAlignment="1">
      <alignment horizontal="left"/>
    </xf>
    <xf numFmtId="0" fontId="1" fillId="24" borderId="0" xfId="0" applyFont="1" applyFill="1" applyBorder="1" applyAlignment="1">
      <alignment horizontal="left" vertical="top" wrapText="1" indent="2"/>
    </xf>
    <xf numFmtId="0" fontId="0" fillId="24" borderId="0" xfId="0" applyFont="1" applyFill="1" applyAlignment="1" applyProtection="1">
      <alignment horizontal="left"/>
      <protection/>
    </xf>
    <xf numFmtId="0" fontId="1" fillId="24" borderId="0" xfId="0" applyFont="1" applyFill="1" applyBorder="1" applyAlignment="1">
      <alignment horizontal="left" vertical="top" wrapText="1"/>
    </xf>
    <xf numFmtId="0" fontId="1" fillId="24" borderId="12" xfId="0" applyFont="1" applyFill="1" applyBorder="1" applyAlignment="1">
      <alignment horizontal="left" vertical="top" wrapText="1"/>
    </xf>
    <xf numFmtId="0" fontId="1" fillId="24" borderId="0" xfId="0" applyFont="1" applyFill="1" applyAlignment="1">
      <alignment horizontal="left" vertical="top" wrapText="1"/>
    </xf>
    <xf numFmtId="0" fontId="0" fillId="24" borderId="0" xfId="0" applyFont="1" applyFill="1" applyAlignment="1">
      <alignment horizontal="left" wrapText="1"/>
    </xf>
    <xf numFmtId="0" fontId="0" fillId="24" borderId="0" xfId="0" applyFill="1" applyAlignment="1">
      <alignment horizontal="left" wrapText="1"/>
    </xf>
    <xf numFmtId="0" fontId="13" fillId="24" borderId="0" xfId="0" applyFont="1" applyFill="1" applyBorder="1" applyAlignment="1">
      <alignment horizontal="center"/>
    </xf>
    <xf numFmtId="0" fontId="13" fillId="24" borderId="0" xfId="0" applyFont="1" applyFill="1" applyBorder="1" applyAlignment="1">
      <alignment horizontal="left" indent="2"/>
    </xf>
    <xf numFmtId="0" fontId="13" fillId="24" borderId="28" xfId="0" applyFont="1" applyFill="1" applyBorder="1" applyAlignment="1">
      <alignment horizontal="left" indent="2"/>
    </xf>
    <xf numFmtId="0" fontId="1" fillId="24" borderId="0" xfId="0" applyFont="1" applyFill="1" applyBorder="1" applyAlignment="1">
      <alignment horizontal="center"/>
    </xf>
    <xf numFmtId="0" fontId="1" fillId="0" borderId="0" xfId="0" applyFont="1" applyAlignment="1">
      <alignment/>
    </xf>
    <xf numFmtId="0" fontId="1" fillId="0" borderId="28" xfId="0" applyFont="1" applyBorder="1" applyAlignment="1">
      <alignment horizontal="center"/>
    </xf>
    <xf numFmtId="0" fontId="60" fillId="0" borderId="0" xfId="0" applyFont="1" applyAlignment="1">
      <alignment horizontal="center" vertical="top" wrapText="1"/>
    </xf>
    <xf numFmtId="44" fontId="49" fillId="25" borderId="0" xfId="64" applyFont="1" applyFill="1" applyAlignment="1">
      <alignment horizontal="center"/>
    </xf>
    <xf numFmtId="44" fontId="50" fillId="0" borderId="44" xfId="64" applyFont="1" applyBorder="1" applyAlignment="1">
      <alignment horizontal="center"/>
    </xf>
    <xf numFmtId="44" fontId="50" fillId="0" borderId="45" xfId="64" applyFont="1" applyBorder="1" applyAlignment="1">
      <alignment horizontal="center"/>
    </xf>
    <xf numFmtId="44" fontId="50" fillId="0" borderId="46" xfId="64" applyFont="1" applyBorder="1" applyAlignment="1">
      <alignment horizontal="center"/>
    </xf>
    <xf numFmtId="210" fontId="50" fillId="0" borderId="47" xfId="60" applyNumberFormat="1" applyFont="1" applyBorder="1" applyAlignment="1">
      <alignment horizontal="center"/>
      <protection/>
    </xf>
    <xf numFmtId="210" fontId="50" fillId="0" borderId="0" xfId="60" applyNumberFormat="1" applyFont="1" applyBorder="1" applyAlignment="1">
      <alignment horizontal="center"/>
      <protection/>
    </xf>
    <xf numFmtId="0" fontId="37" fillId="0" borderId="0" xfId="58" applyAlignment="1">
      <alignment horizontal="center" vertical="center"/>
      <protection/>
    </xf>
    <xf numFmtId="0" fontId="37" fillId="0" borderId="0" xfId="58" applyAlignment="1">
      <alignment horizontal="right" vertical="center"/>
      <protection/>
    </xf>
    <xf numFmtId="14" fontId="37" fillId="0" borderId="0" xfId="58" applyNumberFormat="1" applyAlignment="1">
      <alignment horizontal="righ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Procent 2" xfId="56"/>
    <cellStyle name="Standaard 2" xfId="57"/>
    <cellStyle name="Standaard_Map1" xfId="58"/>
    <cellStyle name="Standaard_Rekenmodel levensfasebeleid CAO GGZ CAO akkoord" xfId="59"/>
    <cellStyle name="Standaard_Rekenmodel levensfasebeleid CAO GGZ_Definitieve versiev2" xfId="60"/>
    <cellStyle name="Titel" xfId="61"/>
    <cellStyle name="Totaal" xfId="62"/>
    <cellStyle name="Uitvoer" xfId="63"/>
    <cellStyle name="Currency" xfId="64"/>
    <cellStyle name="Currency [0]" xfId="65"/>
    <cellStyle name="Verklarende tekst" xfId="66"/>
    <cellStyle name="Waarschuwingsteks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ijn gegevens'!A1"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ijn verlof'!A1" /><Relationship Id="rId2" Type="http://schemas.openxmlformats.org/officeDocument/2006/relationships/image" Target="../media/image3.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6.jpeg" /><Relationship Id="rId9" Type="http://schemas.openxmlformats.org/officeDocument/2006/relationships/hyperlink" Target="#Garantie_3" /><Relationship Id="rId10" Type="http://schemas.openxmlformats.org/officeDocument/2006/relationships/hyperlink" Target="#Garantie_3" /><Relationship Id="rId11" Type="http://schemas.openxmlformats.org/officeDocument/2006/relationships/hyperlink" Target="#Garantie_2" /><Relationship Id="rId12" Type="http://schemas.openxmlformats.org/officeDocument/2006/relationships/hyperlink" Target="#Garantie_2" /><Relationship Id="rId13" Type="http://schemas.openxmlformats.org/officeDocument/2006/relationships/hyperlink" Target="#Garantie_1" /><Relationship Id="rId14" Type="http://schemas.openxmlformats.org/officeDocument/2006/relationships/hyperlink" Target="#Garantie_1" /><Relationship Id="rId15" Type="http://schemas.openxmlformats.org/officeDocument/2006/relationships/hyperlink" Target="#Inleiding!A1" /><Relationship Id="rId16" Type="http://schemas.openxmlformats.org/officeDocument/2006/relationships/hyperlink" Target="#Salaris" /><Relationship Id="rId17" Type="http://schemas.openxmlformats.org/officeDocument/2006/relationships/hyperlink" Target="#Salaris" /><Relationship Id="rId18" Type="http://schemas.openxmlformats.org/officeDocument/2006/relationships/hyperlink" Target="#Contracturen" /><Relationship Id="rId19" Type="http://schemas.openxmlformats.org/officeDocument/2006/relationships/hyperlink" Target="#Contracturen" /><Relationship Id="rId20"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hyperlink" Target="#'Sparen in tijd of in geld'!A1" /><Relationship Id="rId2" Type="http://schemas.openxmlformats.org/officeDocument/2006/relationships/hyperlink" Target="#'Mijn gegevens'!A1" /><Relationship Id="rId3"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Boven_later_extra_vrije_tijd" /><Relationship Id="rId3" Type="http://schemas.openxmlformats.org/officeDocument/2006/relationships/hyperlink" Target="#Boven_later_extra_vrije_tijd" /><Relationship Id="rId4" Type="http://schemas.openxmlformats.org/officeDocument/2006/relationships/hyperlink" Target="#Boven_later_extra_vrije_tijd" /><Relationship Id="rId5" Type="http://schemas.openxmlformats.org/officeDocument/2006/relationships/hyperlink" Target="#Boven_later_extra_vrije_tijd" /><Relationship Id="rId6" Type="http://schemas.openxmlformats.org/officeDocument/2006/relationships/hyperlink" Target="#Boven_later_extra_vrije_tijd" /><Relationship Id="rId7" Type="http://schemas.openxmlformats.org/officeDocument/2006/relationships/hyperlink" Target="#Boven_later_extra_vrije_tijd" /><Relationship Id="rId8" Type="http://schemas.openxmlformats.org/officeDocument/2006/relationships/image" Target="../media/image6.jpeg" /><Relationship Id="rId9" Type="http://schemas.openxmlformats.org/officeDocument/2006/relationships/hyperlink" Target="#Fiscaal_voordeel_later_extra_vrije_tijd" /><Relationship Id="rId10" Type="http://schemas.openxmlformats.org/officeDocument/2006/relationships/hyperlink" Target="#Fiscaal_voordeel_later_extra_vrije_tijd" /><Relationship Id="rId11" Type="http://schemas.openxmlformats.org/officeDocument/2006/relationships/hyperlink" Target="#Inleg_later_extra_vrije_tijd" /><Relationship Id="rId12" Type="http://schemas.openxmlformats.org/officeDocument/2006/relationships/hyperlink" Target="#Inleg_later_extra_vrije_tijd" /><Relationship Id="rId13" Type="http://schemas.openxmlformats.org/officeDocument/2006/relationships/hyperlink" Target="#Vorm_later_extra_vrije_tijd" /><Relationship Id="rId14" Type="http://schemas.openxmlformats.org/officeDocument/2006/relationships/hyperlink" Target="#Vorm_later_extra_vrije_tijd" /><Relationship Id="rId15" Type="http://schemas.openxmlformats.org/officeDocument/2006/relationships/hyperlink" Target="#Waardevastheid" /><Relationship Id="rId16" Type="http://schemas.openxmlformats.org/officeDocument/2006/relationships/hyperlink" Target="#Waardevastheid" /><Relationship Id="rId17" Type="http://schemas.openxmlformats.org/officeDocument/2006/relationships/hyperlink" Target="#Mee_te_nemen_naar_een_andere_werkgever?" /><Relationship Id="rId18" Type="http://schemas.openxmlformats.org/officeDocument/2006/relationships/hyperlink" Target="#Mee_te_nemen_naar_een_andere_werkgever?" /><Relationship Id="rId19" Type="http://schemas.openxmlformats.org/officeDocument/2006/relationships/hyperlink" Target="#Aanbieder_vrij_te_kiezen?" /><Relationship Id="rId20" Type="http://schemas.openxmlformats.org/officeDocument/2006/relationships/hyperlink" Target="#Aanbieder_vrij_te_kiezen?" /><Relationship Id="rId21" Type="http://schemas.openxmlformats.org/officeDocument/2006/relationships/hyperlink" Target="#Sociale_zekerheid" /><Relationship Id="rId22" Type="http://schemas.openxmlformats.org/officeDocument/2006/relationships/hyperlink" Target="#Sociale_zekerheid" /><Relationship Id="rId23" Type="http://schemas.openxmlformats.org/officeDocument/2006/relationships/hyperlink" Target="#Ziektekosten_verzekering" /><Relationship Id="rId24" Type="http://schemas.openxmlformats.org/officeDocument/2006/relationships/hyperlink" Target="#Ziektekosten_verzekering" /><Relationship Id="rId25" Type="http://schemas.openxmlformats.org/officeDocument/2006/relationships/hyperlink" Target="#Pensioen" /><Relationship Id="rId26" Type="http://schemas.openxmlformats.org/officeDocument/2006/relationships/hyperlink" Target="#Pensioen" /><Relationship Id="rId27" Type="http://schemas.openxmlformats.org/officeDocument/2006/relationships/hyperlink" Target="#'Mijn spaartegoed'!A1" /><Relationship Id="rId28" Type="http://schemas.openxmlformats.org/officeDocument/2006/relationships/hyperlink" Target="#Boven_later_extra_vrije_tijd" /><Relationship Id="rId29" Type="http://schemas.openxmlformats.org/officeDocument/2006/relationships/hyperlink" Target="#Boven_later_extra_vrije_tijd" /><Relationship Id="rId30" Type="http://schemas.openxmlformats.org/officeDocument/2006/relationships/hyperlink" Target="#Boven_later_extra_vrije_tijd" /><Relationship Id="rId31" Type="http://schemas.openxmlformats.org/officeDocument/2006/relationships/hyperlink" Target="#Boven_later_extra_vrije_tijd" /><Relationship Id="rId32" Type="http://schemas.openxmlformats.org/officeDocument/2006/relationships/hyperlink" Target="#Boven_later_extra_vrije_tijd" /><Relationship Id="rId33" Type="http://schemas.openxmlformats.org/officeDocument/2006/relationships/hyperlink" Target="#Boven_later_extra_vrije_tijd" /><Relationship Id="rId34" Type="http://schemas.openxmlformats.org/officeDocument/2006/relationships/hyperlink" Target="#Boven_later_extra_vrije_tijd" /><Relationship Id="rId35" Type="http://schemas.openxmlformats.org/officeDocument/2006/relationships/hyperlink" Target="#Boven_later_extra_vrije_tijd" /><Relationship Id="rId36" Type="http://schemas.openxmlformats.org/officeDocument/2006/relationships/hyperlink" Target="#Boven_later_extra_vrije_tijd" /><Relationship Id="rId37" Type="http://schemas.openxmlformats.org/officeDocument/2006/relationships/hyperlink" Target="#Boven_later_extra_vrije_tijd" /><Relationship Id="rId38" Type="http://schemas.openxmlformats.org/officeDocument/2006/relationships/hyperlink" Target="#Boven_later_extra_vrije_tijd" /><Relationship Id="rId39" Type="http://schemas.openxmlformats.org/officeDocument/2006/relationships/hyperlink" Target="#Boven_later_extra_vrije_tijd" /><Relationship Id="rId40" Type="http://schemas.openxmlformats.org/officeDocument/2006/relationships/hyperlink" Target="#Boven_later_extra_vrije_tijd" /><Relationship Id="rId41" Type="http://schemas.openxmlformats.org/officeDocument/2006/relationships/hyperlink" Target="#Boven_later_extra_vrije_tijd" /><Relationship Id="rId42" Type="http://schemas.openxmlformats.org/officeDocument/2006/relationships/hyperlink" Target="#Gevolgen_voor_het_inkomen" /><Relationship Id="rId43" Type="http://schemas.openxmlformats.org/officeDocument/2006/relationships/hyperlink" Target="#Gevolgen_voor_het_inkomen" /><Relationship Id="rId44" Type="http://schemas.openxmlformats.org/officeDocument/2006/relationships/hyperlink" Target="#'Mijn verlof'!A1" /><Relationship Id="rId45"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hyperlink" Target="#Rente" /><Relationship Id="rId3" Type="http://schemas.openxmlformats.org/officeDocument/2006/relationships/hyperlink" Target="#Rente" /><Relationship Id="rId4" Type="http://schemas.openxmlformats.org/officeDocument/2006/relationships/hyperlink" Target="#'Sparen in tijd of in geld'!A1" /><Relationship Id="rId5"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hyperlink" Target="#'Mijn gegevens'!A1" /><Relationship Id="rId2" Type="http://schemas.openxmlformats.org/officeDocument/2006/relationships/hyperlink" Target="#'Mijn gegevens'!A1" /><Relationship Id="rId3" Type="http://schemas.openxmlformats.org/officeDocument/2006/relationships/hyperlink" Target="#'Mijn gegevens'!A1" /><Relationship Id="rId4" Type="http://schemas.openxmlformats.org/officeDocument/2006/relationships/hyperlink" Target="#'Mijn spaartegoed'!A1" /><Relationship Id="rId5" Type="http://schemas.openxmlformats.org/officeDocument/2006/relationships/hyperlink" Target="#'Mijn gegevens'!A1" /><Relationship Id="rId6" Type="http://schemas.openxmlformats.org/officeDocument/2006/relationships/hyperlink" Target="#'Mijn gegevens'!A1" /><Relationship Id="rId7" Type="http://schemas.openxmlformats.org/officeDocument/2006/relationships/hyperlink" Target="#'Mijn gegevens'!A1" /><Relationship Id="rId8" Type="http://schemas.openxmlformats.org/officeDocument/2006/relationships/hyperlink" Target="#'Mijn gegevens'!A1" /><Relationship Id="rId9" Type="http://schemas.openxmlformats.org/officeDocument/2006/relationships/image" Target="../media/image7.png" /><Relationship Id="rId10" Type="http://schemas.openxmlformats.org/officeDocument/2006/relationships/hyperlink" Target="#'Mijn gegeve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666750</xdr:colOff>
      <xdr:row>3</xdr:row>
      <xdr:rowOff>95250</xdr:rowOff>
    </xdr:from>
    <xdr:ext cx="8067675" cy="1466850"/>
    <xdr:sp>
      <xdr:nvSpPr>
        <xdr:cNvPr id="1" name="TextBox 7"/>
        <xdr:cNvSpPr txBox="1">
          <a:spLocks noChangeArrowheads="1"/>
        </xdr:cNvSpPr>
      </xdr:nvSpPr>
      <xdr:spPr>
        <a:xfrm>
          <a:off x="666750" y="1000125"/>
          <a:ext cx="8067675" cy="1466850"/>
        </a:xfrm>
        <a:prstGeom prst="rect">
          <a:avLst/>
        </a:prstGeom>
        <a:noFill/>
        <a:ln w="9525" cmpd="sng">
          <a:noFill/>
        </a:ln>
      </xdr:spPr>
      <xdr:txBody>
        <a:bodyPr vertOverflow="clip" wrap="square">
          <a:spAutoFit/>
        </a:bodyPr>
        <a:p>
          <a:pPr algn="l">
            <a:defRPr/>
          </a:pPr>
          <a:r>
            <a:rPr lang="en-US" cap="none" sz="900" b="1" i="0" u="none" baseline="0">
              <a:solidFill>
                <a:srgbClr val="000080"/>
              </a:solidFill>
              <a:latin typeface="Verdana"/>
              <a:ea typeface="Verdana"/>
              <a:cs typeface="Verdana"/>
            </a:rPr>
            <a:t>Inleiding</a:t>
          </a:r>
          <a:r>
            <a:rPr lang="en-US" cap="none" sz="900" b="0" i="0" u="none" baseline="0">
              <a:latin typeface="Verdana"/>
              <a:ea typeface="Verdana"/>
              <a:cs typeface="Verdana"/>
            </a:rPr>
            <a:t>
Met ingang van 1 januari 2010 kent de CAO GGZ een levensfasebudget. Dit levensfasebudget (LFB) is bedoeld om u de mogelijkheid
te geven om te sparen voor meer vrije tijd. Bijvoorbeeld om eerder te stoppen met werken, tijdelijk minder werken of een langere
periode van verlof. In de CAO is daarom vastgelegd dat het LFB alleen kan worden gespaard in uren of in levensloop.
Deze keuzehulp helpt u te bepalen welke regeling het beste bij uw persoonlijke situatie en wensen past.
De verschillende kenmerken van de beide regelingen worden hierna overzichtelijk voor u naast elkaar gezet. Wilt u meer informatie?
Klik dan op de informatieknop achter het onderwerp waarover u meer informatie wilt. U kunt natuurlijk ook altijd bij uw afdeling 
personeelszaken terecht met uw vragen.</a:t>
          </a:r>
        </a:p>
      </xdr:txBody>
    </xdr:sp>
    <xdr:clientData/>
  </xdr:oneCellAnchor>
  <xdr:twoCellAnchor>
    <xdr:from>
      <xdr:col>0</xdr:col>
      <xdr:colOff>0</xdr:colOff>
      <xdr:row>0</xdr:row>
      <xdr:rowOff>0</xdr:rowOff>
    </xdr:from>
    <xdr:to>
      <xdr:col>21</xdr:col>
      <xdr:colOff>152400</xdr:colOff>
      <xdr:row>1</xdr:row>
      <xdr:rowOff>609600</xdr:rowOff>
    </xdr:to>
    <xdr:sp>
      <xdr:nvSpPr>
        <xdr:cNvPr id="2" name="Rectangle 8"/>
        <xdr:cNvSpPr>
          <a:spLocks/>
        </xdr:cNvSpPr>
      </xdr:nvSpPr>
      <xdr:spPr>
        <a:xfrm>
          <a:off x="0" y="0"/>
          <a:ext cx="14554200" cy="752475"/>
        </a:xfrm>
        <a:prstGeom prst="rect">
          <a:avLst/>
        </a:prstGeom>
        <a:gradFill rotWithShape="1">
          <a:gsLst>
            <a:gs pos="0">
              <a:srgbClr val="CC0000"/>
            </a:gs>
            <a:gs pos="100000">
              <a:srgbClr val="66FF66"/>
            </a:gs>
          </a:gsLst>
          <a:lin ang="0" scaled="1"/>
        </a:gradFill>
        <a:ln w="9525" cmpd="sng">
          <a:solidFill>
            <a:srgbClr val="000000"/>
          </a:solidFill>
          <a:headEnd type="none"/>
          <a:tailEnd type="none"/>
        </a:ln>
      </xdr:spPr>
      <xdr:txBody>
        <a:bodyPr vertOverflow="clip" wrap="square"/>
        <a:p>
          <a:pPr algn="l">
            <a:defRPr/>
          </a:pPr>
          <a:r>
            <a:rPr lang="en-US" cap="none" sz="900" b="0" i="0" u="none" baseline="0">
              <a:latin typeface="Verdana"/>
              <a:ea typeface="Verdana"/>
              <a:cs typeface="Verdana"/>
            </a:rPr>
            <a:t>
                 </a:t>
          </a:r>
          <a:r>
            <a:rPr lang="en-US" cap="none" sz="1600" b="0" i="0" u="none" baseline="0">
              <a:solidFill>
                <a:srgbClr val="FFFFFF"/>
              </a:solidFill>
              <a:latin typeface="Verdana"/>
              <a:ea typeface="Verdana"/>
              <a:cs typeface="Verdana"/>
            </a:rPr>
            <a:t>Levensfasebudget CAO GGZ</a:t>
          </a:r>
        </a:p>
      </xdr:txBody>
    </xdr:sp>
    <xdr:clientData/>
  </xdr:twoCellAnchor>
  <xdr:twoCellAnchor>
    <xdr:from>
      <xdr:col>6</xdr:col>
      <xdr:colOff>276225</xdr:colOff>
      <xdr:row>22</xdr:row>
      <xdr:rowOff>133350</xdr:rowOff>
    </xdr:from>
    <xdr:to>
      <xdr:col>7</xdr:col>
      <xdr:colOff>638175</xdr:colOff>
      <xdr:row>25</xdr:row>
      <xdr:rowOff>28575</xdr:rowOff>
    </xdr:to>
    <xdr:sp>
      <xdr:nvSpPr>
        <xdr:cNvPr id="3" name="Rectangle 9">
          <a:hlinkClick r:id="rId1"/>
        </xdr:cNvPr>
        <xdr:cNvSpPr>
          <a:spLocks/>
        </xdr:cNvSpPr>
      </xdr:nvSpPr>
      <xdr:spPr>
        <a:xfrm>
          <a:off x="4391025" y="3752850"/>
          <a:ext cx="104775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Volgende</a:t>
          </a:r>
        </a:p>
      </xdr:txBody>
    </xdr:sp>
    <xdr:clientData/>
  </xdr:twoCellAnchor>
  <xdr:twoCellAnchor editAs="oneCell">
    <xdr:from>
      <xdr:col>13</xdr:col>
      <xdr:colOff>657225</xdr:colOff>
      <xdr:row>3</xdr:row>
      <xdr:rowOff>123825</xdr:rowOff>
    </xdr:from>
    <xdr:to>
      <xdr:col>15</xdr:col>
      <xdr:colOff>561975</xdr:colOff>
      <xdr:row>13</xdr:row>
      <xdr:rowOff>133350</xdr:rowOff>
    </xdr:to>
    <xdr:pic>
      <xdr:nvPicPr>
        <xdr:cNvPr id="4" name="Picture 11"/>
        <xdr:cNvPicPr preferRelativeResize="1">
          <a:picLocks noChangeAspect="1"/>
        </xdr:cNvPicPr>
      </xdr:nvPicPr>
      <xdr:blipFill>
        <a:blip r:embed="rId2"/>
        <a:stretch>
          <a:fillRect/>
        </a:stretch>
      </xdr:blipFill>
      <xdr:spPr>
        <a:xfrm>
          <a:off x="9572625" y="1028700"/>
          <a:ext cx="127635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34</xdr:row>
      <xdr:rowOff>104775</xdr:rowOff>
    </xdr:from>
    <xdr:to>
      <xdr:col>4</xdr:col>
      <xdr:colOff>123825</xdr:colOff>
      <xdr:row>37</xdr:row>
      <xdr:rowOff>0</xdr:rowOff>
    </xdr:to>
    <xdr:sp>
      <xdr:nvSpPr>
        <xdr:cNvPr id="1" name="Rectangle 1">
          <a:hlinkClick r:id="rId1"/>
        </xdr:cNvPr>
        <xdr:cNvSpPr>
          <a:spLocks/>
        </xdr:cNvSpPr>
      </xdr:nvSpPr>
      <xdr:spPr>
        <a:xfrm>
          <a:off x="3886200" y="5133975"/>
          <a:ext cx="104775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Volgende</a:t>
          </a:r>
        </a:p>
      </xdr:txBody>
    </xdr:sp>
    <xdr:clientData/>
  </xdr:twoCellAnchor>
  <xdr:twoCellAnchor>
    <xdr:from>
      <xdr:col>0</xdr:col>
      <xdr:colOff>276225</xdr:colOff>
      <xdr:row>5</xdr:row>
      <xdr:rowOff>28575</xdr:rowOff>
    </xdr:from>
    <xdr:to>
      <xdr:col>1</xdr:col>
      <xdr:colOff>2314575</xdr:colOff>
      <xdr:row>7</xdr:row>
      <xdr:rowOff>0</xdr:rowOff>
    </xdr:to>
    <xdr:sp>
      <xdr:nvSpPr>
        <xdr:cNvPr id="2" name="Rectangle 2"/>
        <xdr:cNvSpPr>
          <a:spLocks/>
        </xdr:cNvSpPr>
      </xdr:nvSpPr>
      <xdr:spPr>
        <a:xfrm>
          <a:off x="276225" y="1066800"/>
          <a:ext cx="2333625" cy="238125"/>
        </a:xfrm>
        <a:prstGeom prst="rect">
          <a:avLst/>
        </a:prstGeom>
        <a:solidFill>
          <a:srgbClr val="FFFFFF"/>
        </a:solidFill>
        <a:ln w="9525" cmpd="sng">
          <a:noFill/>
        </a:ln>
      </xdr:spPr>
      <xdr:txBody>
        <a:bodyPr vertOverflow="clip" wrap="square"/>
        <a:p>
          <a:pPr algn="l">
            <a:defRPr/>
          </a:pPr>
          <a:r>
            <a:rPr lang="en-US" cap="none" sz="900" b="1" i="0" u="none" baseline="0">
              <a:solidFill>
                <a:srgbClr val="000080"/>
              </a:solidFill>
              <a:latin typeface="Verdana"/>
              <a:ea typeface="Verdana"/>
              <a:cs typeface="Verdana"/>
            </a:rPr>
            <a:t>Invulblad gegevens dienstverband
</a:t>
          </a:r>
        </a:p>
      </xdr:txBody>
    </xdr:sp>
    <xdr:clientData/>
  </xdr:twoCellAnchor>
  <xdr:twoCellAnchor editAs="oneCell">
    <xdr:from>
      <xdr:col>3</xdr:col>
      <xdr:colOff>171450</xdr:colOff>
      <xdr:row>11</xdr:row>
      <xdr:rowOff>66675</xdr:rowOff>
    </xdr:from>
    <xdr:to>
      <xdr:col>3</xdr:col>
      <xdr:colOff>552450</xdr:colOff>
      <xdr:row>13</xdr:row>
      <xdr:rowOff>28575</xdr:rowOff>
    </xdr:to>
    <xdr:pic>
      <xdr:nvPicPr>
        <xdr:cNvPr id="3" name="GGZ_Ja"/>
        <xdr:cNvPicPr preferRelativeResize="1">
          <a:picLocks noChangeAspect="1"/>
        </xdr:cNvPicPr>
      </xdr:nvPicPr>
      <xdr:blipFill>
        <a:blip r:embed="rId2"/>
        <a:stretch>
          <a:fillRect/>
        </a:stretch>
      </xdr:blipFill>
      <xdr:spPr>
        <a:xfrm>
          <a:off x="4010025" y="1905000"/>
          <a:ext cx="381000" cy="228600"/>
        </a:xfrm>
        <a:prstGeom prst="rect">
          <a:avLst/>
        </a:prstGeom>
        <a:noFill/>
        <a:ln w="9525" cmpd="sng">
          <a:noFill/>
        </a:ln>
      </xdr:spPr>
    </xdr:pic>
    <xdr:clientData fLocksWithSheet="0"/>
  </xdr:twoCellAnchor>
  <xdr:twoCellAnchor editAs="oneCell">
    <xdr:from>
      <xdr:col>3</xdr:col>
      <xdr:colOff>657225</xdr:colOff>
      <xdr:row>11</xdr:row>
      <xdr:rowOff>76200</xdr:rowOff>
    </xdr:from>
    <xdr:to>
      <xdr:col>4</xdr:col>
      <xdr:colOff>180975</xdr:colOff>
      <xdr:row>13</xdr:row>
      <xdr:rowOff>38100</xdr:rowOff>
    </xdr:to>
    <xdr:pic>
      <xdr:nvPicPr>
        <xdr:cNvPr id="4" name="GGZ_Nee"/>
        <xdr:cNvPicPr preferRelativeResize="1">
          <a:picLocks noChangeAspect="1"/>
        </xdr:cNvPicPr>
      </xdr:nvPicPr>
      <xdr:blipFill>
        <a:blip r:embed="rId3"/>
        <a:stretch>
          <a:fillRect/>
        </a:stretch>
      </xdr:blipFill>
      <xdr:spPr>
        <a:xfrm>
          <a:off x="4495800" y="1914525"/>
          <a:ext cx="495300" cy="228600"/>
        </a:xfrm>
        <a:prstGeom prst="rect">
          <a:avLst/>
        </a:prstGeom>
        <a:noFill/>
        <a:ln w="9525" cmpd="sng">
          <a:noFill/>
        </a:ln>
      </xdr:spPr>
    </xdr:pic>
    <xdr:clientData fLocksWithSheet="0"/>
  </xdr:twoCellAnchor>
  <xdr:twoCellAnchor editAs="oneCell">
    <xdr:from>
      <xdr:col>3</xdr:col>
      <xdr:colOff>171450</xdr:colOff>
      <xdr:row>14</xdr:row>
      <xdr:rowOff>19050</xdr:rowOff>
    </xdr:from>
    <xdr:to>
      <xdr:col>3</xdr:col>
      <xdr:colOff>552450</xdr:colOff>
      <xdr:row>15</xdr:row>
      <xdr:rowOff>104775</xdr:rowOff>
    </xdr:to>
    <xdr:pic>
      <xdr:nvPicPr>
        <xdr:cNvPr id="5" name="ZW_Ja"/>
        <xdr:cNvPicPr preferRelativeResize="1">
          <a:picLocks noChangeAspect="1"/>
        </xdr:cNvPicPr>
      </xdr:nvPicPr>
      <xdr:blipFill>
        <a:blip r:embed="rId4"/>
        <a:stretch>
          <a:fillRect/>
        </a:stretch>
      </xdr:blipFill>
      <xdr:spPr>
        <a:xfrm>
          <a:off x="4010025" y="2257425"/>
          <a:ext cx="381000" cy="219075"/>
        </a:xfrm>
        <a:prstGeom prst="rect">
          <a:avLst/>
        </a:prstGeom>
        <a:noFill/>
        <a:ln w="9525" cmpd="sng">
          <a:noFill/>
        </a:ln>
      </xdr:spPr>
    </xdr:pic>
    <xdr:clientData fLocksWithSheet="0"/>
  </xdr:twoCellAnchor>
  <xdr:twoCellAnchor editAs="oneCell">
    <xdr:from>
      <xdr:col>3</xdr:col>
      <xdr:colOff>657225</xdr:colOff>
      <xdr:row>14</xdr:row>
      <xdr:rowOff>28575</xdr:rowOff>
    </xdr:from>
    <xdr:to>
      <xdr:col>4</xdr:col>
      <xdr:colOff>152400</xdr:colOff>
      <xdr:row>15</xdr:row>
      <xdr:rowOff>104775</xdr:rowOff>
    </xdr:to>
    <xdr:pic>
      <xdr:nvPicPr>
        <xdr:cNvPr id="6" name="ZW_Nee"/>
        <xdr:cNvPicPr preferRelativeResize="1">
          <a:picLocks noChangeAspect="1"/>
        </xdr:cNvPicPr>
      </xdr:nvPicPr>
      <xdr:blipFill>
        <a:blip r:embed="rId5"/>
        <a:stretch>
          <a:fillRect/>
        </a:stretch>
      </xdr:blipFill>
      <xdr:spPr>
        <a:xfrm>
          <a:off x="4495800" y="2266950"/>
          <a:ext cx="466725" cy="209550"/>
        </a:xfrm>
        <a:prstGeom prst="rect">
          <a:avLst/>
        </a:prstGeom>
        <a:noFill/>
        <a:ln w="9525" cmpd="sng">
          <a:noFill/>
        </a:ln>
      </xdr:spPr>
    </xdr:pic>
    <xdr:clientData fLocksWithSheet="0"/>
  </xdr:twoCellAnchor>
  <xdr:twoCellAnchor editAs="oneCell">
    <xdr:from>
      <xdr:col>3</xdr:col>
      <xdr:colOff>171450</xdr:colOff>
      <xdr:row>17</xdr:row>
      <xdr:rowOff>95250</xdr:rowOff>
    </xdr:from>
    <xdr:to>
      <xdr:col>3</xdr:col>
      <xdr:colOff>533400</xdr:colOff>
      <xdr:row>19</xdr:row>
      <xdr:rowOff>57150</xdr:rowOff>
    </xdr:to>
    <xdr:pic>
      <xdr:nvPicPr>
        <xdr:cNvPr id="7" name="plusregeling_Ja"/>
        <xdr:cNvPicPr preferRelativeResize="1">
          <a:picLocks noChangeAspect="1"/>
        </xdr:cNvPicPr>
      </xdr:nvPicPr>
      <xdr:blipFill>
        <a:blip r:embed="rId6"/>
        <a:stretch>
          <a:fillRect/>
        </a:stretch>
      </xdr:blipFill>
      <xdr:spPr>
        <a:xfrm>
          <a:off x="4010025" y="2733675"/>
          <a:ext cx="361950" cy="228600"/>
        </a:xfrm>
        <a:prstGeom prst="rect">
          <a:avLst/>
        </a:prstGeom>
        <a:noFill/>
        <a:ln w="9525" cmpd="sng">
          <a:noFill/>
        </a:ln>
      </xdr:spPr>
    </xdr:pic>
    <xdr:clientData fLocksWithSheet="0"/>
  </xdr:twoCellAnchor>
  <xdr:twoCellAnchor editAs="oneCell">
    <xdr:from>
      <xdr:col>3</xdr:col>
      <xdr:colOff>657225</xdr:colOff>
      <xdr:row>17</xdr:row>
      <xdr:rowOff>104775</xdr:rowOff>
    </xdr:from>
    <xdr:to>
      <xdr:col>4</xdr:col>
      <xdr:colOff>180975</xdr:colOff>
      <xdr:row>19</xdr:row>
      <xdr:rowOff>76200</xdr:rowOff>
    </xdr:to>
    <xdr:pic>
      <xdr:nvPicPr>
        <xdr:cNvPr id="8" name="Plusregeling_Nee"/>
        <xdr:cNvPicPr preferRelativeResize="1">
          <a:picLocks noChangeAspect="1"/>
        </xdr:cNvPicPr>
      </xdr:nvPicPr>
      <xdr:blipFill>
        <a:blip r:embed="rId7"/>
        <a:stretch>
          <a:fillRect/>
        </a:stretch>
      </xdr:blipFill>
      <xdr:spPr>
        <a:xfrm>
          <a:off x="4495800" y="2743200"/>
          <a:ext cx="495300" cy="238125"/>
        </a:xfrm>
        <a:prstGeom prst="rect">
          <a:avLst/>
        </a:prstGeom>
        <a:noFill/>
        <a:ln w="9525" cmpd="sng">
          <a:noFill/>
        </a:ln>
      </xdr:spPr>
    </xdr:pic>
    <xdr:clientData fLocksWithSheet="0"/>
  </xdr:twoCellAnchor>
  <xdr:twoCellAnchor editAs="oneCell">
    <xdr:from>
      <xdr:col>5</xdr:col>
      <xdr:colOff>657225</xdr:colOff>
      <xdr:row>18</xdr:row>
      <xdr:rowOff>9525</xdr:rowOff>
    </xdr:from>
    <xdr:to>
      <xdr:col>6</xdr:col>
      <xdr:colOff>152400</xdr:colOff>
      <xdr:row>19</xdr:row>
      <xdr:rowOff>66675</xdr:rowOff>
    </xdr:to>
    <xdr:pic>
      <xdr:nvPicPr>
        <xdr:cNvPr id="9" name="Picture 24">
          <a:hlinkClick r:id="rId10"/>
        </xdr:cNvPr>
        <xdr:cNvPicPr preferRelativeResize="1">
          <a:picLocks noChangeAspect="1"/>
        </xdr:cNvPicPr>
      </xdr:nvPicPr>
      <xdr:blipFill>
        <a:blip r:embed="rId8"/>
        <a:stretch>
          <a:fillRect/>
        </a:stretch>
      </xdr:blipFill>
      <xdr:spPr>
        <a:xfrm>
          <a:off x="5838825" y="2781300"/>
          <a:ext cx="190500" cy="190500"/>
        </a:xfrm>
        <a:prstGeom prst="rect">
          <a:avLst/>
        </a:prstGeom>
        <a:noFill/>
        <a:ln w="9525" cmpd="sng">
          <a:noFill/>
        </a:ln>
      </xdr:spPr>
    </xdr:pic>
    <xdr:clientData/>
  </xdr:twoCellAnchor>
  <xdr:twoCellAnchor editAs="oneCell">
    <xdr:from>
      <xdr:col>5</xdr:col>
      <xdr:colOff>666750</xdr:colOff>
      <xdr:row>14</xdr:row>
      <xdr:rowOff>57150</xdr:rowOff>
    </xdr:from>
    <xdr:to>
      <xdr:col>6</xdr:col>
      <xdr:colOff>161925</xdr:colOff>
      <xdr:row>15</xdr:row>
      <xdr:rowOff>104775</xdr:rowOff>
    </xdr:to>
    <xdr:pic>
      <xdr:nvPicPr>
        <xdr:cNvPr id="10" name="Picture 26">
          <a:hlinkClick r:id="rId12"/>
        </xdr:cNvPr>
        <xdr:cNvPicPr preferRelativeResize="1">
          <a:picLocks noChangeAspect="1"/>
        </xdr:cNvPicPr>
      </xdr:nvPicPr>
      <xdr:blipFill>
        <a:blip r:embed="rId8"/>
        <a:stretch>
          <a:fillRect/>
        </a:stretch>
      </xdr:blipFill>
      <xdr:spPr>
        <a:xfrm>
          <a:off x="5848350" y="2295525"/>
          <a:ext cx="190500" cy="180975"/>
        </a:xfrm>
        <a:prstGeom prst="rect">
          <a:avLst/>
        </a:prstGeom>
        <a:noFill/>
        <a:ln w="9525" cmpd="sng">
          <a:noFill/>
        </a:ln>
      </xdr:spPr>
    </xdr:pic>
    <xdr:clientData/>
  </xdr:twoCellAnchor>
  <xdr:twoCellAnchor>
    <xdr:from>
      <xdr:col>0</xdr:col>
      <xdr:colOff>0</xdr:colOff>
      <xdr:row>0</xdr:row>
      <xdr:rowOff>0</xdr:rowOff>
    </xdr:from>
    <xdr:to>
      <xdr:col>20</xdr:col>
      <xdr:colOff>571500</xdr:colOff>
      <xdr:row>2</xdr:row>
      <xdr:rowOff>9525</xdr:rowOff>
    </xdr:to>
    <xdr:sp>
      <xdr:nvSpPr>
        <xdr:cNvPr id="11" name="Rectangle 32"/>
        <xdr:cNvSpPr>
          <a:spLocks/>
        </xdr:cNvSpPr>
      </xdr:nvSpPr>
      <xdr:spPr>
        <a:xfrm>
          <a:off x="0" y="0"/>
          <a:ext cx="15525750" cy="619125"/>
        </a:xfrm>
        <a:prstGeom prst="rect">
          <a:avLst/>
        </a:prstGeom>
        <a:gradFill rotWithShape="1">
          <a:gsLst>
            <a:gs pos="0">
              <a:srgbClr val="CC0000"/>
            </a:gs>
            <a:gs pos="100000">
              <a:srgbClr val="66FF66"/>
            </a:gs>
          </a:gsLst>
          <a:lin ang="0" scaled="1"/>
        </a:gradFill>
        <a:ln w="9525" cmpd="sng">
          <a:solidFill>
            <a:srgbClr val="000000"/>
          </a:solidFill>
          <a:headEnd type="none"/>
          <a:tailEnd type="none"/>
        </a:ln>
      </xdr:spPr>
      <xdr:txBody>
        <a:bodyPr vertOverflow="clip" wrap="square"/>
        <a:p>
          <a:pPr algn="l">
            <a:defRPr/>
          </a:pPr>
          <a:r>
            <a:rPr lang="en-US" cap="none" sz="900" b="0" i="0" u="none" baseline="0">
              <a:latin typeface="Verdana"/>
              <a:ea typeface="Verdana"/>
              <a:cs typeface="Verdana"/>
            </a:rPr>
            <a:t>
                 </a:t>
          </a:r>
          <a:r>
            <a:rPr lang="en-US" cap="none" sz="1600" b="0" i="0" u="none" baseline="0">
              <a:solidFill>
                <a:srgbClr val="FFFFFF"/>
              </a:solidFill>
              <a:latin typeface="Verdana"/>
              <a:ea typeface="Verdana"/>
              <a:cs typeface="Verdana"/>
            </a:rPr>
            <a:t>Levensfasebudget: Mijn gegevens</a:t>
          </a:r>
        </a:p>
      </xdr:txBody>
    </xdr:sp>
    <xdr:clientData/>
  </xdr:twoCellAnchor>
  <xdr:twoCellAnchor editAs="oneCell">
    <xdr:from>
      <xdr:col>5</xdr:col>
      <xdr:colOff>657225</xdr:colOff>
      <xdr:row>11</xdr:row>
      <xdr:rowOff>104775</xdr:rowOff>
    </xdr:from>
    <xdr:to>
      <xdr:col>6</xdr:col>
      <xdr:colOff>152400</xdr:colOff>
      <xdr:row>13</xdr:row>
      <xdr:rowOff>38100</xdr:rowOff>
    </xdr:to>
    <xdr:pic>
      <xdr:nvPicPr>
        <xdr:cNvPr id="12" name="Picture 33">
          <a:hlinkClick r:id="rId14"/>
        </xdr:cNvPr>
        <xdr:cNvPicPr preferRelativeResize="1">
          <a:picLocks noChangeAspect="1"/>
        </xdr:cNvPicPr>
      </xdr:nvPicPr>
      <xdr:blipFill>
        <a:blip r:embed="rId8"/>
        <a:stretch>
          <a:fillRect/>
        </a:stretch>
      </xdr:blipFill>
      <xdr:spPr>
        <a:xfrm>
          <a:off x="5838825" y="1943100"/>
          <a:ext cx="190500" cy="200025"/>
        </a:xfrm>
        <a:prstGeom prst="rect">
          <a:avLst/>
        </a:prstGeom>
        <a:noFill/>
        <a:ln w="9525" cmpd="sng">
          <a:noFill/>
        </a:ln>
      </xdr:spPr>
    </xdr:pic>
    <xdr:clientData/>
  </xdr:twoCellAnchor>
  <xdr:twoCellAnchor>
    <xdr:from>
      <xdr:col>1</xdr:col>
      <xdr:colOff>2095500</xdr:colOff>
      <xdr:row>34</xdr:row>
      <xdr:rowOff>104775</xdr:rowOff>
    </xdr:from>
    <xdr:to>
      <xdr:col>2</xdr:col>
      <xdr:colOff>619125</xdr:colOff>
      <xdr:row>37</xdr:row>
      <xdr:rowOff>0</xdr:rowOff>
    </xdr:to>
    <xdr:sp>
      <xdr:nvSpPr>
        <xdr:cNvPr id="13" name="Rectangle 34">
          <a:hlinkClick r:id="rId15"/>
        </xdr:cNvPr>
        <xdr:cNvSpPr>
          <a:spLocks/>
        </xdr:cNvSpPr>
      </xdr:nvSpPr>
      <xdr:spPr>
        <a:xfrm>
          <a:off x="2390775" y="5133975"/>
          <a:ext cx="104775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Vorige</a:t>
          </a:r>
        </a:p>
      </xdr:txBody>
    </xdr:sp>
    <xdr:clientData/>
  </xdr:twoCellAnchor>
  <xdr:twoCellAnchor editAs="oneCell">
    <xdr:from>
      <xdr:col>5</xdr:col>
      <xdr:colOff>676275</xdr:colOff>
      <xdr:row>25</xdr:row>
      <xdr:rowOff>104775</xdr:rowOff>
    </xdr:from>
    <xdr:to>
      <xdr:col>6</xdr:col>
      <xdr:colOff>171450</xdr:colOff>
      <xdr:row>27</xdr:row>
      <xdr:rowOff>0</xdr:rowOff>
    </xdr:to>
    <xdr:pic>
      <xdr:nvPicPr>
        <xdr:cNvPr id="14" name="Picture 35">
          <a:hlinkClick r:id="rId17"/>
        </xdr:cNvPr>
        <xdr:cNvPicPr preferRelativeResize="1">
          <a:picLocks noChangeAspect="1"/>
        </xdr:cNvPicPr>
      </xdr:nvPicPr>
      <xdr:blipFill>
        <a:blip r:embed="rId8"/>
        <a:stretch>
          <a:fillRect/>
        </a:stretch>
      </xdr:blipFill>
      <xdr:spPr>
        <a:xfrm>
          <a:off x="5857875" y="3829050"/>
          <a:ext cx="190500" cy="190500"/>
        </a:xfrm>
        <a:prstGeom prst="rect">
          <a:avLst/>
        </a:prstGeom>
        <a:noFill/>
        <a:ln w="9525" cmpd="sng">
          <a:noFill/>
        </a:ln>
      </xdr:spPr>
    </xdr:pic>
    <xdr:clientData/>
  </xdr:twoCellAnchor>
  <xdr:twoCellAnchor editAs="oneCell">
    <xdr:from>
      <xdr:col>5</xdr:col>
      <xdr:colOff>666750</xdr:colOff>
      <xdr:row>21</xdr:row>
      <xdr:rowOff>85725</xdr:rowOff>
    </xdr:from>
    <xdr:to>
      <xdr:col>6</xdr:col>
      <xdr:colOff>161925</xdr:colOff>
      <xdr:row>23</xdr:row>
      <xdr:rowOff>9525</xdr:rowOff>
    </xdr:to>
    <xdr:pic>
      <xdr:nvPicPr>
        <xdr:cNvPr id="15" name="Picture 36">
          <a:hlinkClick r:id="rId19"/>
        </xdr:cNvPr>
        <xdr:cNvPicPr preferRelativeResize="1">
          <a:picLocks noChangeAspect="1"/>
        </xdr:cNvPicPr>
      </xdr:nvPicPr>
      <xdr:blipFill>
        <a:blip r:embed="rId8"/>
        <a:stretch>
          <a:fillRect/>
        </a:stretch>
      </xdr:blipFill>
      <xdr:spPr>
        <a:xfrm>
          <a:off x="5848350" y="3257550"/>
          <a:ext cx="190500" cy="190500"/>
        </a:xfrm>
        <a:prstGeom prst="rect">
          <a:avLst/>
        </a:prstGeom>
        <a:noFill/>
        <a:ln w="9525" cmpd="sng">
          <a:noFill/>
        </a:ln>
      </xdr:spPr>
    </xdr:pic>
    <xdr:clientData/>
  </xdr:twoCellAnchor>
  <xdr:twoCellAnchor editAs="oneCell">
    <xdr:from>
      <xdr:col>12</xdr:col>
      <xdr:colOff>314325</xdr:colOff>
      <xdr:row>5</xdr:row>
      <xdr:rowOff>95250</xdr:rowOff>
    </xdr:from>
    <xdr:to>
      <xdr:col>14</xdr:col>
      <xdr:colOff>219075</xdr:colOff>
      <xdr:row>16</xdr:row>
      <xdr:rowOff>66675</xdr:rowOff>
    </xdr:to>
    <xdr:pic>
      <xdr:nvPicPr>
        <xdr:cNvPr id="16" name="Picture 42"/>
        <xdr:cNvPicPr preferRelativeResize="1">
          <a:picLocks noChangeAspect="1"/>
        </xdr:cNvPicPr>
      </xdr:nvPicPr>
      <xdr:blipFill>
        <a:blip r:embed="rId20"/>
        <a:stretch>
          <a:fillRect/>
        </a:stretch>
      </xdr:blipFill>
      <xdr:spPr>
        <a:xfrm>
          <a:off x="9782175" y="1133475"/>
          <a:ext cx="1276350"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485775</xdr:colOff>
      <xdr:row>1</xdr:row>
      <xdr:rowOff>476250</xdr:rowOff>
    </xdr:to>
    <xdr:sp>
      <xdr:nvSpPr>
        <xdr:cNvPr id="1" name="Rectangle 4"/>
        <xdr:cNvSpPr>
          <a:spLocks/>
        </xdr:cNvSpPr>
      </xdr:nvSpPr>
      <xdr:spPr>
        <a:xfrm>
          <a:off x="0" y="0"/>
          <a:ext cx="14839950" cy="619125"/>
        </a:xfrm>
        <a:prstGeom prst="rect">
          <a:avLst/>
        </a:prstGeom>
        <a:gradFill rotWithShape="1">
          <a:gsLst>
            <a:gs pos="0">
              <a:srgbClr val="CC0000"/>
            </a:gs>
            <a:gs pos="100000">
              <a:srgbClr val="66FF66"/>
            </a:gs>
          </a:gsLst>
          <a:lin ang="0" scaled="1"/>
        </a:gradFill>
        <a:ln w="9525" cmpd="sng">
          <a:solidFill>
            <a:srgbClr val="000000"/>
          </a:solidFill>
          <a:headEnd type="none"/>
          <a:tailEnd type="none"/>
        </a:ln>
      </xdr:spPr>
      <xdr:txBody>
        <a:bodyPr vertOverflow="clip" wrap="square"/>
        <a:p>
          <a:pPr algn="l">
            <a:defRPr/>
          </a:pPr>
          <a:r>
            <a:rPr lang="en-US" cap="none" sz="900" b="0" i="0" u="none" baseline="0">
              <a:latin typeface="Verdana"/>
              <a:ea typeface="Verdana"/>
              <a:cs typeface="Verdana"/>
            </a:rPr>
            <a:t>
                 </a:t>
          </a:r>
          <a:r>
            <a:rPr lang="en-US" cap="none" sz="1600" b="0" i="0" u="none" baseline="0">
              <a:solidFill>
                <a:srgbClr val="FFFFFF"/>
              </a:solidFill>
              <a:latin typeface="Verdana"/>
              <a:ea typeface="Verdana"/>
              <a:cs typeface="Verdana"/>
            </a:rPr>
            <a:t>Levensfasebudget: Mijn verlof</a:t>
          </a:r>
        </a:p>
      </xdr:txBody>
    </xdr:sp>
    <xdr:clientData/>
  </xdr:twoCellAnchor>
  <xdr:oneCellAnchor>
    <xdr:from>
      <xdr:col>1</xdr:col>
      <xdr:colOff>28575</xdr:colOff>
      <xdr:row>5</xdr:row>
      <xdr:rowOff>0</xdr:rowOff>
    </xdr:from>
    <xdr:ext cx="9163050" cy="1181100"/>
    <xdr:sp>
      <xdr:nvSpPr>
        <xdr:cNvPr id="2" name="TextBox 5"/>
        <xdr:cNvSpPr txBox="1">
          <a:spLocks noChangeArrowheads="1"/>
        </xdr:cNvSpPr>
      </xdr:nvSpPr>
      <xdr:spPr>
        <a:xfrm>
          <a:off x="323850" y="1066800"/>
          <a:ext cx="9163050" cy="1181100"/>
        </a:xfrm>
        <a:prstGeom prst="rect">
          <a:avLst/>
        </a:prstGeom>
        <a:noFill/>
        <a:ln w="9525" cmpd="sng">
          <a:noFill/>
        </a:ln>
      </xdr:spPr>
      <xdr:txBody>
        <a:bodyPr vertOverflow="clip" wrap="square">
          <a:spAutoFit/>
        </a:bodyPr>
        <a:p>
          <a:pPr algn="l">
            <a:defRPr/>
          </a:pPr>
          <a:r>
            <a:rPr lang="en-US" cap="none" sz="900" b="0" i="0" u="none" baseline="0">
              <a:latin typeface="Verdana"/>
              <a:ea typeface="Verdana"/>
              <a:cs typeface="Verdana"/>
            </a:rPr>
            <a:t>Op deze pagina ziet u een overzicht van uw verlofrechten vanuit het levensfasebudget. 
Deze rechten zijn berekend op basis van de door u ingevoerde gegevens op de vorige pagina.
De getoonde waarden zijn uw rechten per </a:t>
          </a:r>
          <a:r>
            <a:rPr lang="en-US" cap="none" sz="900" b="0" i="0" u="sng" baseline="0">
              <a:latin typeface="Verdana"/>
              <a:ea typeface="Verdana"/>
              <a:cs typeface="Verdana"/>
            </a:rPr>
            <a:t>volledig kalenderjaar</a:t>
          </a:r>
          <a:r>
            <a:rPr lang="en-US" cap="none" sz="900" b="0" i="0" u="none" baseline="0">
              <a:latin typeface="Verdana"/>
              <a:ea typeface="Verdana"/>
              <a:cs typeface="Verdana"/>
            </a:rPr>
            <a:t>. 
Bent u na 1 januari j.l. in dienst getreden of langer dan een half jaar ziek of zijn er andere bijzondere omstandigheden (OBU, overgangsregeling AGGZ, 
overgangsregeling CAO Verslavingszorg)?
Dan kunnen uw rechten afwijken van de hier getoonde waarden. Neem dan contact op met uw afdeling personeelszaken.</a:t>
          </a:r>
        </a:p>
      </xdr:txBody>
    </xdr:sp>
    <xdr:clientData/>
  </xdr:oneCellAnchor>
  <xdr:twoCellAnchor>
    <xdr:from>
      <xdr:col>3</xdr:col>
      <xdr:colOff>381000</xdr:colOff>
      <xdr:row>27</xdr:row>
      <xdr:rowOff>19050</xdr:rowOff>
    </xdr:from>
    <xdr:to>
      <xdr:col>4</xdr:col>
      <xdr:colOff>457200</xdr:colOff>
      <xdr:row>28</xdr:row>
      <xdr:rowOff>114300</xdr:rowOff>
    </xdr:to>
    <xdr:sp>
      <xdr:nvSpPr>
        <xdr:cNvPr id="3" name="Rectangle 8">
          <a:hlinkClick r:id="rId1"/>
        </xdr:cNvPr>
        <xdr:cNvSpPr>
          <a:spLocks/>
        </xdr:cNvSpPr>
      </xdr:nvSpPr>
      <xdr:spPr>
        <a:xfrm>
          <a:off x="4210050" y="4267200"/>
          <a:ext cx="104775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Volgende</a:t>
          </a:r>
        </a:p>
      </xdr:txBody>
    </xdr:sp>
    <xdr:clientData/>
  </xdr:twoCellAnchor>
  <xdr:twoCellAnchor>
    <xdr:from>
      <xdr:col>2</xdr:col>
      <xdr:colOff>114300</xdr:colOff>
      <xdr:row>27</xdr:row>
      <xdr:rowOff>19050</xdr:rowOff>
    </xdr:from>
    <xdr:to>
      <xdr:col>3</xdr:col>
      <xdr:colOff>314325</xdr:colOff>
      <xdr:row>28</xdr:row>
      <xdr:rowOff>114300</xdr:rowOff>
    </xdr:to>
    <xdr:sp>
      <xdr:nvSpPr>
        <xdr:cNvPr id="4" name="Rectangle 9">
          <a:hlinkClick r:id="rId2"/>
        </xdr:cNvPr>
        <xdr:cNvSpPr>
          <a:spLocks/>
        </xdr:cNvSpPr>
      </xdr:nvSpPr>
      <xdr:spPr>
        <a:xfrm>
          <a:off x="3095625" y="4267200"/>
          <a:ext cx="104775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Vorige</a:t>
          </a:r>
        </a:p>
      </xdr:txBody>
    </xdr:sp>
    <xdr:clientData/>
  </xdr:twoCellAnchor>
  <xdr:oneCellAnchor>
    <xdr:from>
      <xdr:col>0</xdr:col>
      <xdr:colOff>285750</xdr:colOff>
      <xdr:row>21</xdr:row>
      <xdr:rowOff>95250</xdr:rowOff>
    </xdr:from>
    <xdr:ext cx="6638925" cy="447675"/>
    <xdr:sp>
      <xdr:nvSpPr>
        <xdr:cNvPr id="5" name="TextBox 11"/>
        <xdr:cNvSpPr txBox="1">
          <a:spLocks noChangeArrowheads="1"/>
        </xdr:cNvSpPr>
      </xdr:nvSpPr>
      <xdr:spPr>
        <a:xfrm>
          <a:off x="285750" y="3543300"/>
          <a:ext cx="6638925" cy="447675"/>
        </a:xfrm>
        <a:prstGeom prst="rect">
          <a:avLst/>
        </a:prstGeom>
        <a:noFill/>
        <a:ln w="9525" cmpd="sng">
          <a:noFill/>
        </a:ln>
      </xdr:spPr>
      <xdr:txBody>
        <a:bodyPr vertOverflow="clip" wrap="square"/>
        <a:p>
          <a:pPr algn="l">
            <a:defRPr/>
          </a:pPr>
          <a:r>
            <a:rPr lang="en-US" cap="none" sz="800" b="0" i="1" u="none" baseline="0">
              <a:latin typeface="Verdana"/>
              <a:ea typeface="Verdana"/>
              <a:cs typeface="Verdana"/>
            </a:rPr>
            <a:t>* De hoogte van uw levensfasebudget is afhankelijk van de omvang van uw dienstverband en uw geboortedatum. De in de Cao GGZ genoemde aantallen zijn op basis van een volledig dienstverband gedurende een heel kalenderjaar.</a:t>
          </a:r>
        </a:p>
      </xdr:txBody>
    </xdr:sp>
    <xdr:clientData/>
  </xdr:oneCellAnchor>
  <xdr:twoCellAnchor editAs="oneCell">
    <xdr:from>
      <xdr:col>13</xdr:col>
      <xdr:colOff>504825</xdr:colOff>
      <xdr:row>5</xdr:row>
      <xdr:rowOff>9525</xdr:rowOff>
    </xdr:from>
    <xdr:to>
      <xdr:col>15</xdr:col>
      <xdr:colOff>409575</xdr:colOff>
      <xdr:row>14</xdr:row>
      <xdr:rowOff>38100</xdr:rowOff>
    </xdr:to>
    <xdr:pic>
      <xdr:nvPicPr>
        <xdr:cNvPr id="6" name="Picture 12"/>
        <xdr:cNvPicPr preferRelativeResize="1">
          <a:picLocks noChangeAspect="1"/>
        </xdr:cNvPicPr>
      </xdr:nvPicPr>
      <xdr:blipFill>
        <a:blip r:embed="rId3"/>
        <a:stretch>
          <a:fillRect/>
        </a:stretch>
      </xdr:blipFill>
      <xdr:spPr>
        <a:xfrm>
          <a:off x="10744200" y="1076325"/>
          <a:ext cx="1276350" cy="1438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32</xdr:row>
      <xdr:rowOff>142875</xdr:rowOff>
    </xdr:from>
    <xdr:to>
      <xdr:col>1</xdr:col>
      <xdr:colOff>647700</xdr:colOff>
      <xdr:row>32</xdr:row>
      <xdr:rowOff>438150</xdr:rowOff>
    </xdr:to>
    <xdr:pic>
      <xdr:nvPicPr>
        <xdr:cNvPr id="1" name="Picture 2">
          <a:hlinkClick r:id="rId3"/>
        </xdr:cNvPr>
        <xdr:cNvPicPr preferRelativeResize="1">
          <a:picLocks noChangeAspect="0"/>
        </xdr:cNvPicPr>
      </xdr:nvPicPr>
      <xdr:blipFill>
        <a:blip r:embed="rId1"/>
        <a:stretch>
          <a:fillRect/>
        </a:stretch>
      </xdr:blipFill>
      <xdr:spPr>
        <a:xfrm>
          <a:off x="295275" y="11049000"/>
          <a:ext cx="485775" cy="295275"/>
        </a:xfrm>
        <a:prstGeom prst="rect">
          <a:avLst/>
        </a:prstGeom>
        <a:noFill/>
        <a:ln w="9525" cmpd="sng">
          <a:noFill/>
        </a:ln>
      </xdr:spPr>
    </xdr:pic>
    <xdr:clientData/>
  </xdr:twoCellAnchor>
  <xdr:twoCellAnchor editAs="oneCell">
    <xdr:from>
      <xdr:col>1</xdr:col>
      <xdr:colOff>257175</xdr:colOff>
      <xdr:row>30</xdr:row>
      <xdr:rowOff>123825</xdr:rowOff>
    </xdr:from>
    <xdr:to>
      <xdr:col>1</xdr:col>
      <xdr:colOff>742950</xdr:colOff>
      <xdr:row>30</xdr:row>
      <xdr:rowOff>619125</xdr:rowOff>
    </xdr:to>
    <xdr:pic>
      <xdr:nvPicPr>
        <xdr:cNvPr id="2" name="Picture 3">
          <a:hlinkClick r:id="rId5"/>
        </xdr:cNvPr>
        <xdr:cNvPicPr preferRelativeResize="1">
          <a:picLocks noChangeAspect="0"/>
        </xdr:cNvPicPr>
      </xdr:nvPicPr>
      <xdr:blipFill>
        <a:blip r:embed="rId1"/>
        <a:stretch>
          <a:fillRect/>
        </a:stretch>
      </xdr:blipFill>
      <xdr:spPr>
        <a:xfrm>
          <a:off x="390525" y="7400925"/>
          <a:ext cx="485775" cy="495300"/>
        </a:xfrm>
        <a:prstGeom prst="rect">
          <a:avLst/>
        </a:prstGeom>
        <a:noFill/>
        <a:ln w="9525" cmpd="sng">
          <a:noFill/>
        </a:ln>
      </xdr:spPr>
    </xdr:pic>
    <xdr:clientData/>
  </xdr:twoCellAnchor>
  <xdr:twoCellAnchor editAs="oneCell">
    <xdr:from>
      <xdr:col>1</xdr:col>
      <xdr:colOff>161925</xdr:colOff>
      <xdr:row>35</xdr:row>
      <xdr:rowOff>152400</xdr:rowOff>
    </xdr:from>
    <xdr:to>
      <xdr:col>1</xdr:col>
      <xdr:colOff>647700</xdr:colOff>
      <xdr:row>35</xdr:row>
      <xdr:rowOff>638175</xdr:rowOff>
    </xdr:to>
    <xdr:pic>
      <xdr:nvPicPr>
        <xdr:cNvPr id="3" name="Picture 4">
          <a:hlinkClick r:id="rId7"/>
        </xdr:cNvPr>
        <xdr:cNvPicPr preferRelativeResize="1">
          <a:picLocks noChangeAspect="0"/>
        </xdr:cNvPicPr>
      </xdr:nvPicPr>
      <xdr:blipFill>
        <a:blip r:embed="rId1"/>
        <a:stretch>
          <a:fillRect/>
        </a:stretch>
      </xdr:blipFill>
      <xdr:spPr>
        <a:xfrm>
          <a:off x="295275" y="14678025"/>
          <a:ext cx="485775" cy="485775"/>
        </a:xfrm>
        <a:prstGeom prst="rect">
          <a:avLst/>
        </a:prstGeom>
        <a:noFill/>
        <a:ln w="9525" cmpd="sng">
          <a:noFill/>
        </a:ln>
      </xdr:spPr>
    </xdr:pic>
    <xdr:clientData/>
  </xdr:twoCellAnchor>
  <xdr:twoCellAnchor>
    <xdr:from>
      <xdr:col>0</xdr:col>
      <xdr:colOff>0</xdr:colOff>
      <xdr:row>0</xdr:row>
      <xdr:rowOff>0</xdr:rowOff>
    </xdr:from>
    <xdr:to>
      <xdr:col>19</xdr:col>
      <xdr:colOff>476250</xdr:colOff>
      <xdr:row>3</xdr:row>
      <xdr:rowOff>57150</xdr:rowOff>
    </xdr:to>
    <xdr:sp>
      <xdr:nvSpPr>
        <xdr:cNvPr id="4" name="Rectangle 21"/>
        <xdr:cNvSpPr>
          <a:spLocks/>
        </xdr:cNvSpPr>
      </xdr:nvSpPr>
      <xdr:spPr>
        <a:xfrm>
          <a:off x="0" y="0"/>
          <a:ext cx="14211300" cy="552450"/>
        </a:xfrm>
        <a:prstGeom prst="rect">
          <a:avLst/>
        </a:prstGeom>
        <a:gradFill rotWithShape="1">
          <a:gsLst>
            <a:gs pos="0">
              <a:srgbClr val="CC0000"/>
            </a:gs>
            <a:gs pos="100000">
              <a:srgbClr val="66FF66"/>
            </a:gs>
          </a:gsLst>
          <a:lin ang="0" scaled="1"/>
        </a:gradFill>
        <a:ln w="9525" cmpd="sng">
          <a:solidFill>
            <a:srgbClr val="000000"/>
          </a:solidFill>
          <a:headEnd type="none"/>
          <a:tailEnd type="none"/>
        </a:ln>
      </xdr:spPr>
      <xdr:txBody>
        <a:bodyPr vertOverflow="clip" wrap="square"/>
        <a:p>
          <a:pPr algn="l">
            <a:defRPr/>
          </a:pPr>
          <a:r>
            <a:rPr lang="en-US" cap="none" sz="900" b="0" i="0" u="none" baseline="0">
              <a:latin typeface="Verdana"/>
              <a:ea typeface="Verdana"/>
              <a:cs typeface="Verdana"/>
            </a:rPr>
            <a:t>
                 </a:t>
          </a:r>
          <a:r>
            <a:rPr lang="en-US" cap="none" sz="1600" b="0" i="0" u="none" baseline="0">
              <a:solidFill>
                <a:srgbClr val="FFFFFF"/>
              </a:solidFill>
              <a:latin typeface="Verdana"/>
              <a:ea typeface="Verdana"/>
              <a:cs typeface="Verdana"/>
            </a:rPr>
            <a:t>Levensfasebudget: Sparen in tijd of in geld (of beide)</a:t>
          </a:r>
        </a:p>
      </xdr:txBody>
    </xdr:sp>
    <xdr:clientData/>
  </xdr:twoCellAnchor>
  <xdr:twoCellAnchor editAs="oneCell">
    <xdr:from>
      <xdr:col>1</xdr:col>
      <xdr:colOff>1590675</xdr:colOff>
      <xdr:row>7</xdr:row>
      <xdr:rowOff>19050</xdr:rowOff>
    </xdr:from>
    <xdr:to>
      <xdr:col>1</xdr:col>
      <xdr:colOff>1781175</xdr:colOff>
      <xdr:row>8</xdr:row>
      <xdr:rowOff>47625</xdr:rowOff>
    </xdr:to>
    <xdr:pic>
      <xdr:nvPicPr>
        <xdr:cNvPr id="5" name="Picture 22">
          <a:hlinkClick r:id="rId10"/>
        </xdr:cNvPr>
        <xdr:cNvPicPr preferRelativeResize="1">
          <a:picLocks noChangeAspect="1"/>
        </xdr:cNvPicPr>
      </xdr:nvPicPr>
      <xdr:blipFill>
        <a:blip r:embed="rId8"/>
        <a:stretch>
          <a:fillRect/>
        </a:stretch>
      </xdr:blipFill>
      <xdr:spPr>
        <a:xfrm>
          <a:off x="1724025" y="3724275"/>
          <a:ext cx="190500" cy="190500"/>
        </a:xfrm>
        <a:prstGeom prst="rect">
          <a:avLst/>
        </a:prstGeom>
        <a:noFill/>
        <a:ln w="9525" cmpd="sng">
          <a:noFill/>
        </a:ln>
      </xdr:spPr>
    </xdr:pic>
    <xdr:clientData/>
  </xdr:twoCellAnchor>
  <xdr:twoCellAnchor editAs="oneCell">
    <xdr:from>
      <xdr:col>1</xdr:col>
      <xdr:colOff>1590675</xdr:colOff>
      <xdr:row>11</xdr:row>
      <xdr:rowOff>0</xdr:rowOff>
    </xdr:from>
    <xdr:to>
      <xdr:col>1</xdr:col>
      <xdr:colOff>1781175</xdr:colOff>
      <xdr:row>12</xdr:row>
      <xdr:rowOff>28575</xdr:rowOff>
    </xdr:to>
    <xdr:pic>
      <xdr:nvPicPr>
        <xdr:cNvPr id="6" name="Picture 23">
          <a:hlinkClick r:id="rId12"/>
        </xdr:cNvPr>
        <xdr:cNvPicPr preferRelativeResize="1">
          <a:picLocks noChangeAspect="1"/>
        </xdr:cNvPicPr>
      </xdr:nvPicPr>
      <xdr:blipFill>
        <a:blip r:embed="rId8"/>
        <a:stretch>
          <a:fillRect/>
        </a:stretch>
      </xdr:blipFill>
      <xdr:spPr>
        <a:xfrm>
          <a:off x="1724025" y="4257675"/>
          <a:ext cx="190500" cy="190500"/>
        </a:xfrm>
        <a:prstGeom prst="rect">
          <a:avLst/>
        </a:prstGeom>
        <a:noFill/>
        <a:ln w="9525" cmpd="sng">
          <a:noFill/>
        </a:ln>
      </xdr:spPr>
    </xdr:pic>
    <xdr:clientData/>
  </xdr:twoCellAnchor>
  <xdr:twoCellAnchor editAs="oneCell">
    <xdr:from>
      <xdr:col>1</xdr:col>
      <xdr:colOff>1590675</xdr:colOff>
      <xdr:row>9</xdr:row>
      <xdr:rowOff>0</xdr:rowOff>
    </xdr:from>
    <xdr:to>
      <xdr:col>1</xdr:col>
      <xdr:colOff>1781175</xdr:colOff>
      <xdr:row>10</xdr:row>
      <xdr:rowOff>28575</xdr:rowOff>
    </xdr:to>
    <xdr:pic>
      <xdr:nvPicPr>
        <xdr:cNvPr id="7" name="Picture 24">
          <a:hlinkClick r:id="rId14"/>
        </xdr:cNvPr>
        <xdr:cNvPicPr preferRelativeResize="1">
          <a:picLocks noChangeAspect="1"/>
        </xdr:cNvPicPr>
      </xdr:nvPicPr>
      <xdr:blipFill>
        <a:blip r:embed="rId8"/>
        <a:stretch>
          <a:fillRect/>
        </a:stretch>
      </xdr:blipFill>
      <xdr:spPr>
        <a:xfrm>
          <a:off x="1724025" y="3981450"/>
          <a:ext cx="190500" cy="190500"/>
        </a:xfrm>
        <a:prstGeom prst="rect">
          <a:avLst/>
        </a:prstGeom>
        <a:noFill/>
        <a:ln w="9525" cmpd="sng">
          <a:noFill/>
        </a:ln>
      </xdr:spPr>
    </xdr:pic>
    <xdr:clientData/>
  </xdr:twoCellAnchor>
  <xdr:twoCellAnchor editAs="oneCell">
    <xdr:from>
      <xdr:col>1</xdr:col>
      <xdr:colOff>1590675</xdr:colOff>
      <xdr:row>21</xdr:row>
      <xdr:rowOff>85725</xdr:rowOff>
    </xdr:from>
    <xdr:to>
      <xdr:col>1</xdr:col>
      <xdr:colOff>1781175</xdr:colOff>
      <xdr:row>22</xdr:row>
      <xdr:rowOff>104775</xdr:rowOff>
    </xdr:to>
    <xdr:pic>
      <xdr:nvPicPr>
        <xdr:cNvPr id="8" name="Picture 25">
          <a:hlinkClick r:id="rId16"/>
        </xdr:cNvPr>
        <xdr:cNvPicPr preferRelativeResize="1">
          <a:picLocks noChangeAspect="1"/>
        </xdr:cNvPicPr>
      </xdr:nvPicPr>
      <xdr:blipFill>
        <a:blip r:embed="rId8"/>
        <a:stretch>
          <a:fillRect/>
        </a:stretch>
      </xdr:blipFill>
      <xdr:spPr>
        <a:xfrm>
          <a:off x="1724025" y="6010275"/>
          <a:ext cx="190500" cy="133350"/>
        </a:xfrm>
        <a:prstGeom prst="rect">
          <a:avLst/>
        </a:prstGeom>
        <a:noFill/>
        <a:ln w="9525" cmpd="sng">
          <a:noFill/>
        </a:ln>
      </xdr:spPr>
    </xdr:pic>
    <xdr:clientData/>
  </xdr:twoCellAnchor>
  <xdr:twoCellAnchor editAs="oneCell">
    <xdr:from>
      <xdr:col>1</xdr:col>
      <xdr:colOff>1590675</xdr:colOff>
      <xdr:row>13</xdr:row>
      <xdr:rowOff>76200</xdr:rowOff>
    </xdr:from>
    <xdr:to>
      <xdr:col>1</xdr:col>
      <xdr:colOff>1781175</xdr:colOff>
      <xdr:row>14</xdr:row>
      <xdr:rowOff>104775</xdr:rowOff>
    </xdr:to>
    <xdr:pic>
      <xdr:nvPicPr>
        <xdr:cNvPr id="9" name="Picture 33">
          <a:hlinkClick r:id="rId18"/>
        </xdr:cNvPr>
        <xdr:cNvPicPr preferRelativeResize="1">
          <a:picLocks noChangeAspect="1"/>
        </xdr:cNvPicPr>
      </xdr:nvPicPr>
      <xdr:blipFill>
        <a:blip r:embed="rId8"/>
        <a:stretch>
          <a:fillRect/>
        </a:stretch>
      </xdr:blipFill>
      <xdr:spPr>
        <a:xfrm>
          <a:off x="1724025" y="4610100"/>
          <a:ext cx="190500" cy="190500"/>
        </a:xfrm>
        <a:prstGeom prst="rect">
          <a:avLst/>
        </a:prstGeom>
        <a:noFill/>
        <a:ln w="9525" cmpd="sng">
          <a:noFill/>
        </a:ln>
      </xdr:spPr>
    </xdr:pic>
    <xdr:clientData/>
  </xdr:twoCellAnchor>
  <xdr:twoCellAnchor editAs="oneCell">
    <xdr:from>
      <xdr:col>1</xdr:col>
      <xdr:colOff>1590675</xdr:colOff>
      <xdr:row>15</xdr:row>
      <xdr:rowOff>85725</xdr:rowOff>
    </xdr:from>
    <xdr:to>
      <xdr:col>1</xdr:col>
      <xdr:colOff>1781175</xdr:colOff>
      <xdr:row>17</xdr:row>
      <xdr:rowOff>0</xdr:rowOff>
    </xdr:to>
    <xdr:pic>
      <xdr:nvPicPr>
        <xdr:cNvPr id="10" name="Picture 34">
          <a:hlinkClick r:id="rId20"/>
        </xdr:cNvPr>
        <xdr:cNvPicPr preferRelativeResize="1">
          <a:picLocks noChangeAspect="1"/>
        </xdr:cNvPicPr>
      </xdr:nvPicPr>
      <xdr:blipFill>
        <a:blip r:embed="rId8"/>
        <a:stretch>
          <a:fillRect/>
        </a:stretch>
      </xdr:blipFill>
      <xdr:spPr>
        <a:xfrm>
          <a:off x="1724025" y="4943475"/>
          <a:ext cx="190500" cy="190500"/>
        </a:xfrm>
        <a:prstGeom prst="rect">
          <a:avLst/>
        </a:prstGeom>
        <a:noFill/>
        <a:ln w="9525" cmpd="sng">
          <a:noFill/>
        </a:ln>
      </xdr:spPr>
    </xdr:pic>
    <xdr:clientData/>
  </xdr:twoCellAnchor>
  <xdr:twoCellAnchor editAs="oneCell">
    <xdr:from>
      <xdr:col>1</xdr:col>
      <xdr:colOff>1590675</xdr:colOff>
      <xdr:row>17</xdr:row>
      <xdr:rowOff>104775</xdr:rowOff>
    </xdr:from>
    <xdr:to>
      <xdr:col>1</xdr:col>
      <xdr:colOff>1781175</xdr:colOff>
      <xdr:row>19</xdr:row>
      <xdr:rowOff>19050</xdr:rowOff>
    </xdr:to>
    <xdr:pic>
      <xdr:nvPicPr>
        <xdr:cNvPr id="11" name="Picture 35">
          <a:hlinkClick r:id="rId22"/>
        </xdr:cNvPr>
        <xdr:cNvPicPr preferRelativeResize="1">
          <a:picLocks noChangeAspect="1"/>
        </xdr:cNvPicPr>
      </xdr:nvPicPr>
      <xdr:blipFill>
        <a:blip r:embed="rId8"/>
        <a:stretch>
          <a:fillRect/>
        </a:stretch>
      </xdr:blipFill>
      <xdr:spPr>
        <a:xfrm>
          <a:off x="1724025" y="5238750"/>
          <a:ext cx="190500" cy="190500"/>
        </a:xfrm>
        <a:prstGeom prst="rect">
          <a:avLst/>
        </a:prstGeom>
        <a:noFill/>
        <a:ln w="9525" cmpd="sng">
          <a:noFill/>
        </a:ln>
      </xdr:spPr>
    </xdr:pic>
    <xdr:clientData/>
  </xdr:twoCellAnchor>
  <xdr:twoCellAnchor editAs="oneCell">
    <xdr:from>
      <xdr:col>1</xdr:col>
      <xdr:colOff>1600200</xdr:colOff>
      <xdr:row>25</xdr:row>
      <xdr:rowOff>95250</xdr:rowOff>
    </xdr:from>
    <xdr:to>
      <xdr:col>1</xdr:col>
      <xdr:colOff>1790700</xdr:colOff>
      <xdr:row>27</xdr:row>
      <xdr:rowOff>9525</xdr:rowOff>
    </xdr:to>
    <xdr:pic>
      <xdr:nvPicPr>
        <xdr:cNvPr id="12" name="Picture 37">
          <a:hlinkClick r:id="rId24"/>
        </xdr:cNvPr>
        <xdr:cNvPicPr preferRelativeResize="1">
          <a:picLocks noChangeAspect="1"/>
        </xdr:cNvPicPr>
      </xdr:nvPicPr>
      <xdr:blipFill>
        <a:blip r:embed="rId8"/>
        <a:stretch>
          <a:fillRect/>
        </a:stretch>
      </xdr:blipFill>
      <xdr:spPr>
        <a:xfrm>
          <a:off x="1733550" y="6677025"/>
          <a:ext cx="190500" cy="190500"/>
        </a:xfrm>
        <a:prstGeom prst="rect">
          <a:avLst/>
        </a:prstGeom>
        <a:noFill/>
        <a:ln w="9525" cmpd="sng">
          <a:noFill/>
        </a:ln>
      </xdr:spPr>
    </xdr:pic>
    <xdr:clientData/>
  </xdr:twoCellAnchor>
  <xdr:twoCellAnchor editAs="oneCell">
    <xdr:from>
      <xdr:col>1</xdr:col>
      <xdr:colOff>1590675</xdr:colOff>
      <xdr:row>19</xdr:row>
      <xdr:rowOff>85725</xdr:rowOff>
    </xdr:from>
    <xdr:to>
      <xdr:col>1</xdr:col>
      <xdr:colOff>1781175</xdr:colOff>
      <xdr:row>20</xdr:row>
      <xdr:rowOff>123825</xdr:rowOff>
    </xdr:to>
    <xdr:pic>
      <xdr:nvPicPr>
        <xdr:cNvPr id="13" name="Picture 38">
          <a:hlinkClick r:id="rId26"/>
        </xdr:cNvPr>
        <xdr:cNvPicPr preferRelativeResize="1">
          <a:picLocks noChangeAspect="1"/>
        </xdr:cNvPicPr>
      </xdr:nvPicPr>
      <xdr:blipFill>
        <a:blip r:embed="rId8"/>
        <a:stretch>
          <a:fillRect/>
        </a:stretch>
      </xdr:blipFill>
      <xdr:spPr>
        <a:xfrm>
          <a:off x="1724025" y="5495925"/>
          <a:ext cx="190500" cy="152400"/>
        </a:xfrm>
        <a:prstGeom prst="rect">
          <a:avLst/>
        </a:prstGeom>
        <a:noFill/>
        <a:ln w="9525" cmpd="sng">
          <a:noFill/>
        </a:ln>
      </xdr:spPr>
    </xdr:pic>
    <xdr:clientData/>
  </xdr:twoCellAnchor>
  <xdr:twoCellAnchor>
    <xdr:from>
      <xdr:col>13</xdr:col>
      <xdr:colOff>95250</xdr:colOff>
      <xdr:row>5</xdr:row>
      <xdr:rowOff>1743075</xdr:rowOff>
    </xdr:from>
    <xdr:to>
      <xdr:col>14</xdr:col>
      <xdr:colOff>457200</xdr:colOff>
      <xdr:row>5</xdr:row>
      <xdr:rowOff>2152650</xdr:rowOff>
    </xdr:to>
    <xdr:sp>
      <xdr:nvSpPr>
        <xdr:cNvPr id="14" name="Rectangle 39">
          <a:hlinkClick r:id="rId27"/>
        </xdr:cNvPr>
        <xdr:cNvSpPr>
          <a:spLocks/>
        </xdr:cNvSpPr>
      </xdr:nvSpPr>
      <xdr:spPr>
        <a:xfrm>
          <a:off x="9715500" y="2638425"/>
          <a:ext cx="1047750" cy="41910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Volgende</a:t>
          </a:r>
        </a:p>
      </xdr:txBody>
    </xdr:sp>
    <xdr:clientData/>
  </xdr:twoCellAnchor>
  <xdr:twoCellAnchor editAs="oneCell">
    <xdr:from>
      <xdr:col>1</xdr:col>
      <xdr:colOff>180975</xdr:colOff>
      <xdr:row>39</xdr:row>
      <xdr:rowOff>238125</xdr:rowOff>
    </xdr:from>
    <xdr:to>
      <xdr:col>1</xdr:col>
      <xdr:colOff>666750</xdr:colOff>
      <xdr:row>39</xdr:row>
      <xdr:rowOff>552450</xdr:rowOff>
    </xdr:to>
    <xdr:pic>
      <xdr:nvPicPr>
        <xdr:cNvPr id="15" name="Picture 47">
          <a:hlinkClick r:id="rId29"/>
        </xdr:cNvPr>
        <xdr:cNvPicPr preferRelativeResize="1">
          <a:picLocks noChangeAspect="0"/>
        </xdr:cNvPicPr>
      </xdr:nvPicPr>
      <xdr:blipFill>
        <a:blip r:embed="rId1"/>
        <a:stretch>
          <a:fillRect/>
        </a:stretch>
      </xdr:blipFill>
      <xdr:spPr>
        <a:xfrm>
          <a:off x="314325" y="18145125"/>
          <a:ext cx="485775" cy="314325"/>
        </a:xfrm>
        <a:prstGeom prst="rect">
          <a:avLst/>
        </a:prstGeom>
        <a:noFill/>
        <a:ln w="9525" cmpd="sng">
          <a:noFill/>
        </a:ln>
      </xdr:spPr>
    </xdr:pic>
    <xdr:clientData/>
  </xdr:twoCellAnchor>
  <xdr:twoCellAnchor editAs="oneCell">
    <xdr:from>
      <xdr:col>1</xdr:col>
      <xdr:colOff>171450</xdr:colOff>
      <xdr:row>41</xdr:row>
      <xdr:rowOff>133350</xdr:rowOff>
    </xdr:from>
    <xdr:to>
      <xdr:col>1</xdr:col>
      <xdr:colOff>657225</xdr:colOff>
      <xdr:row>41</xdr:row>
      <xdr:rowOff>628650</xdr:rowOff>
    </xdr:to>
    <xdr:pic>
      <xdr:nvPicPr>
        <xdr:cNvPr id="16" name="Picture 48">
          <a:hlinkClick r:id="rId31"/>
        </xdr:cNvPr>
        <xdr:cNvPicPr preferRelativeResize="1">
          <a:picLocks noChangeAspect="0"/>
        </xdr:cNvPicPr>
      </xdr:nvPicPr>
      <xdr:blipFill>
        <a:blip r:embed="rId1"/>
        <a:stretch>
          <a:fillRect/>
        </a:stretch>
      </xdr:blipFill>
      <xdr:spPr>
        <a:xfrm>
          <a:off x="304800" y="19383375"/>
          <a:ext cx="485775" cy="495300"/>
        </a:xfrm>
        <a:prstGeom prst="rect">
          <a:avLst/>
        </a:prstGeom>
        <a:noFill/>
        <a:ln w="9525" cmpd="sng">
          <a:noFill/>
        </a:ln>
      </xdr:spPr>
    </xdr:pic>
    <xdr:clientData/>
  </xdr:twoCellAnchor>
  <xdr:twoCellAnchor editAs="oneCell">
    <xdr:from>
      <xdr:col>1</xdr:col>
      <xdr:colOff>180975</xdr:colOff>
      <xdr:row>43</xdr:row>
      <xdr:rowOff>371475</xdr:rowOff>
    </xdr:from>
    <xdr:to>
      <xdr:col>1</xdr:col>
      <xdr:colOff>666750</xdr:colOff>
      <xdr:row>43</xdr:row>
      <xdr:rowOff>866775</xdr:rowOff>
    </xdr:to>
    <xdr:pic>
      <xdr:nvPicPr>
        <xdr:cNvPr id="17" name="Picture 49">
          <a:hlinkClick r:id="rId33"/>
        </xdr:cNvPr>
        <xdr:cNvPicPr preferRelativeResize="1">
          <a:picLocks noChangeAspect="0"/>
        </xdr:cNvPicPr>
      </xdr:nvPicPr>
      <xdr:blipFill>
        <a:blip r:embed="rId1"/>
        <a:stretch>
          <a:fillRect/>
        </a:stretch>
      </xdr:blipFill>
      <xdr:spPr>
        <a:xfrm>
          <a:off x="314325" y="21031200"/>
          <a:ext cx="485775" cy="495300"/>
        </a:xfrm>
        <a:prstGeom prst="rect">
          <a:avLst/>
        </a:prstGeom>
        <a:noFill/>
        <a:ln w="9525" cmpd="sng">
          <a:noFill/>
        </a:ln>
      </xdr:spPr>
    </xdr:pic>
    <xdr:clientData/>
  </xdr:twoCellAnchor>
  <xdr:twoCellAnchor editAs="oneCell">
    <xdr:from>
      <xdr:col>1</xdr:col>
      <xdr:colOff>180975</xdr:colOff>
      <xdr:row>45</xdr:row>
      <xdr:rowOff>228600</xdr:rowOff>
    </xdr:from>
    <xdr:to>
      <xdr:col>1</xdr:col>
      <xdr:colOff>666750</xdr:colOff>
      <xdr:row>45</xdr:row>
      <xdr:rowOff>542925</xdr:rowOff>
    </xdr:to>
    <xdr:pic>
      <xdr:nvPicPr>
        <xdr:cNvPr id="18" name="Picture 50">
          <a:hlinkClick r:id="rId35"/>
        </xdr:cNvPr>
        <xdr:cNvPicPr preferRelativeResize="1">
          <a:picLocks noChangeAspect="0"/>
        </xdr:cNvPicPr>
      </xdr:nvPicPr>
      <xdr:blipFill>
        <a:blip r:embed="rId1"/>
        <a:stretch>
          <a:fillRect/>
        </a:stretch>
      </xdr:blipFill>
      <xdr:spPr>
        <a:xfrm>
          <a:off x="314325" y="23583900"/>
          <a:ext cx="485775" cy="314325"/>
        </a:xfrm>
        <a:prstGeom prst="rect">
          <a:avLst/>
        </a:prstGeom>
        <a:noFill/>
        <a:ln w="9525" cmpd="sng">
          <a:noFill/>
        </a:ln>
      </xdr:spPr>
    </xdr:pic>
    <xdr:clientData/>
  </xdr:twoCellAnchor>
  <xdr:twoCellAnchor editAs="oneCell">
    <xdr:from>
      <xdr:col>1</xdr:col>
      <xdr:colOff>180975</xdr:colOff>
      <xdr:row>49</xdr:row>
      <xdr:rowOff>371475</xdr:rowOff>
    </xdr:from>
    <xdr:to>
      <xdr:col>1</xdr:col>
      <xdr:colOff>666750</xdr:colOff>
      <xdr:row>49</xdr:row>
      <xdr:rowOff>885825</xdr:rowOff>
    </xdr:to>
    <xdr:pic>
      <xdr:nvPicPr>
        <xdr:cNvPr id="19" name="Picture 51">
          <a:hlinkClick r:id="rId37"/>
        </xdr:cNvPr>
        <xdr:cNvPicPr preferRelativeResize="1">
          <a:picLocks noChangeAspect="0"/>
        </xdr:cNvPicPr>
      </xdr:nvPicPr>
      <xdr:blipFill>
        <a:blip r:embed="rId1"/>
        <a:stretch>
          <a:fillRect/>
        </a:stretch>
      </xdr:blipFill>
      <xdr:spPr>
        <a:xfrm>
          <a:off x="314325" y="28013025"/>
          <a:ext cx="485775" cy="504825"/>
        </a:xfrm>
        <a:prstGeom prst="rect">
          <a:avLst/>
        </a:prstGeom>
        <a:noFill/>
        <a:ln w="9525" cmpd="sng">
          <a:noFill/>
        </a:ln>
      </xdr:spPr>
    </xdr:pic>
    <xdr:clientData/>
  </xdr:twoCellAnchor>
  <xdr:twoCellAnchor editAs="oneCell">
    <xdr:from>
      <xdr:col>1</xdr:col>
      <xdr:colOff>180975</xdr:colOff>
      <xdr:row>51</xdr:row>
      <xdr:rowOff>228600</xdr:rowOff>
    </xdr:from>
    <xdr:to>
      <xdr:col>1</xdr:col>
      <xdr:colOff>666750</xdr:colOff>
      <xdr:row>51</xdr:row>
      <xdr:rowOff>533400</xdr:rowOff>
    </xdr:to>
    <xdr:pic>
      <xdr:nvPicPr>
        <xdr:cNvPr id="20" name="Picture 52">
          <a:hlinkClick r:id="rId39"/>
        </xdr:cNvPr>
        <xdr:cNvPicPr preferRelativeResize="1">
          <a:picLocks noChangeAspect="0"/>
        </xdr:cNvPicPr>
      </xdr:nvPicPr>
      <xdr:blipFill>
        <a:blip r:embed="rId1"/>
        <a:stretch>
          <a:fillRect/>
        </a:stretch>
      </xdr:blipFill>
      <xdr:spPr>
        <a:xfrm>
          <a:off x="314325" y="30413325"/>
          <a:ext cx="485775" cy="304800"/>
        </a:xfrm>
        <a:prstGeom prst="rect">
          <a:avLst/>
        </a:prstGeom>
        <a:noFill/>
        <a:ln w="9525" cmpd="sng">
          <a:noFill/>
        </a:ln>
      </xdr:spPr>
    </xdr:pic>
    <xdr:clientData/>
  </xdr:twoCellAnchor>
  <xdr:twoCellAnchor editAs="oneCell">
    <xdr:from>
      <xdr:col>1</xdr:col>
      <xdr:colOff>180975</xdr:colOff>
      <xdr:row>47</xdr:row>
      <xdr:rowOff>219075</xdr:rowOff>
    </xdr:from>
    <xdr:to>
      <xdr:col>1</xdr:col>
      <xdr:colOff>666750</xdr:colOff>
      <xdr:row>47</xdr:row>
      <xdr:rowOff>523875</xdr:rowOff>
    </xdr:to>
    <xdr:pic>
      <xdr:nvPicPr>
        <xdr:cNvPr id="21" name="Picture 53">
          <a:hlinkClick r:id="rId41"/>
        </xdr:cNvPr>
        <xdr:cNvPicPr preferRelativeResize="1">
          <a:picLocks noChangeAspect="0"/>
        </xdr:cNvPicPr>
      </xdr:nvPicPr>
      <xdr:blipFill>
        <a:blip r:embed="rId1"/>
        <a:stretch>
          <a:fillRect/>
        </a:stretch>
      </xdr:blipFill>
      <xdr:spPr>
        <a:xfrm>
          <a:off x="314325" y="26384250"/>
          <a:ext cx="485775" cy="304800"/>
        </a:xfrm>
        <a:prstGeom prst="rect">
          <a:avLst/>
        </a:prstGeom>
        <a:noFill/>
        <a:ln w="9525" cmpd="sng">
          <a:noFill/>
        </a:ln>
      </xdr:spPr>
    </xdr:pic>
    <xdr:clientData/>
  </xdr:twoCellAnchor>
  <xdr:twoCellAnchor editAs="oneCell">
    <xdr:from>
      <xdr:col>1</xdr:col>
      <xdr:colOff>1600200</xdr:colOff>
      <xdr:row>23</xdr:row>
      <xdr:rowOff>95250</xdr:rowOff>
    </xdr:from>
    <xdr:to>
      <xdr:col>1</xdr:col>
      <xdr:colOff>1790700</xdr:colOff>
      <xdr:row>25</xdr:row>
      <xdr:rowOff>9525</xdr:rowOff>
    </xdr:to>
    <xdr:pic>
      <xdr:nvPicPr>
        <xdr:cNvPr id="22" name="Picture 54">
          <a:hlinkClick r:id="rId43"/>
        </xdr:cNvPr>
        <xdr:cNvPicPr preferRelativeResize="1">
          <a:picLocks noChangeAspect="1"/>
        </xdr:cNvPicPr>
      </xdr:nvPicPr>
      <xdr:blipFill>
        <a:blip r:embed="rId8"/>
        <a:stretch>
          <a:fillRect/>
        </a:stretch>
      </xdr:blipFill>
      <xdr:spPr>
        <a:xfrm>
          <a:off x="1733550" y="6400800"/>
          <a:ext cx="190500" cy="190500"/>
        </a:xfrm>
        <a:prstGeom prst="rect">
          <a:avLst/>
        </a:prstGeom>
        <a:noFill/>
        <a:ln w="9525" cmpd="sng">
          <a:noFill/>
        </a:ln>
      </xdr:spPr>
    </xdr:pic>
    <xdr:clientData/>
  </xdr:twoCellAnchor>
  <xdr:twoCellAnchor>
    <xdr:from>
      <xdr:col>11</xdr:col>
      <xdr:colOff>209550</xdr:colOff>
      <xdr:row>5</xdr:row>
      <xdr:rowOff>1743075</xdr:rowOff>
    </xdr:from>
    <xdr:to>
      <xdr:col>13</xdr:col>
      <xdr:colOff>28575</xdr:colOff>
      <xdr:row>5</xdr:row>
      <xdr:rowOff>2152650</xdr:rowOff>
    </xdr:to>
    <xdr:sp>
      <xdr:nvSpPr>
        <xdr:cNvPr id="23" name="Rectangle 56">
          <a:hlinkClick r:id="rId44"/>
        </xdr:cNvPr>
        <xdr:cNvSpPr>
          <a:spLocks/>
        </xdr:cNvSpPr>
      </xdr:nvSpPr>
      <xdr:spPr>
        <a:xfrm>
          <a:off x="8601075" y="2638425"/>
          <a:ext cx="1047750" cy="41910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Vorige</a:t>
          </a:r>
        </a:p>
      </xdr:txBody>
    </xdr:sp>
    <xdr:clientData/>
  </xdr:twoCellAnchor>
  <xdr:twoCellAnchor editAs="oneCell">
    <xdr:from>
      <xdr:col>15</xdr:col>
      <xdr:colOff>552450</xdr:colOff>
      <xdr:row>5</xdr:row>
      <xdr:rowOff>180975</xdr:rowOff>
    </xdr:from>
    <xdr:to>
      <xdr:col>17</xdr:col>
      <xdr:colOff>457200</xdr:colOff>
      <xdr:row>5</xdr:row>
      <xdr:rowOff>1619250</xdr:rowOff>
    </xdr:to>
    <xdr:pic>
      <xdr:nvPicPr>
        <xdr:cNvPr id="24" name="Picture 57"/>
        <xdr:cNvPicPr preferRelativeResize="1">
          <a:picLocks noChangeAspect="1"/>
        </xdr:cNvPicPr>
      </xdr:nvPicPr>
      <xdr:blipFill>
        <a:blip r:embed="rId45"/>
        <a:stretch>
          <a:fillRect/>
        </a:stretch>
      </xdr:blipFill>
      <xdr:spPr>
        <a:xfrm>
          <a:off x="11544300" y="1076325"/>
          <a:ext cx="1276350" cy="1438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1104900</xdr:colOff>
      <xdr:row>20</xdr:row>
      <xdr:rowOff>76200</xdr:rowOff>
    </xdr:from>
    <xdr:to>
      <xdr:col>6</xdr:col>
      <xdr:colOff>1295400</xdr:colOff>
      <xdr:row>22</xdr:row>
      <xdr:rowOff>38100</xdr:rowOff>
    </xdr:to>
    <xdr:pic>
      <xdr:nvPicPr>
        <xdr:cNvPr id="1" name="Picture 2">
          <a:hlinkClick r:id="rId3"/>
        </xdr:cNvPr>
        <xdr:cNvPicPr preferRelativeResize="1">
          <a:picLocks noChangeAspect="1"/>
        </xdr:cNvPicPr>
      </xdr:nvPicPr>
      <xdr:blipFill>
        <a:blip r:embed="rId1"/>
        <a:stretch>
          <a:fillRect/>
        </a:stretch>
      </xdr:blipFill>
      <xdr:spPr>
        <a:xfrm>
          <a:off x="7324725" y="2828925"/>
          <a:ext cx="190500" cy="190500"/>
        </a:xfrm>
        <a:prstGeom prst="rect">
          <a:avLst/>
        </a:prstGeom>
        <a:noFill/>
        <a:ln w="9525" cmpd="sng">
          <a:noFill/>
        </a:ln>
      </xdr:spPr>
    </xdr:pic>
    <xdr:clientData/>
  </xdr:twoCellAnchor>
  <xdr:oneCellAnchor>
    <xdr:from>
      <xdr:col>0</xdr:col>
      <xdr:colOff>666750</xdr:colOff>
      <xdr:row>7</xdr:row>
      <xdr:rowOff>104775</xdr:rowOff>
    </xdr:from>
    <xdr:ext cx="7381875" cy="581025"/>
    <xdr:sp>
      <xdr:nvSpPr>
        <xdr:cNvPr id="2" name="TextBox 3"/>
        <xdr:cNvSpPr txBox="1">
          <a:spLocks noChangeArrowheads="1"/>
        </xdr:cNvSpPr>
      </xdr:nvSpPr>
      <xdr:spPr>
        <a:xfrm>
          <a:off x="666750" y="1419225"/>
          <a:ext cx="7381875" cy="581025"/>
        </a:xfrm>
        <a:prstGeom prst="rect">
          <a:avLst/>
        </a:prstGeom>
        <a:noFill/>
        <a:ln w="9525" cmpd="sng">
          <a:noFill/>
        </a:ln>
      </xdr:spPr>
      <xdr:txBody>
        <a:bodyPr vertOverflow="clip" wrap="square"/>
        <a:p>
          <a:pPr algn="l">
            <a:defRPr/>
          </a:pPr>
          <a:r>
            <a:rPr lang="en-US" cap="none" sz="900" b="0" i="0" u="none" baseline="0">
              <a:latin typeface="Verdana"/>
              <a:ea typeface="Verdana"/>
              <a:cs typeface="Verdana"/>
            </a:rPr>
            <a:t>Hieronder kunt u aangeven welk deel van uw levensfasebudget u wilt sparen voor later. Door een einddatum in te vullen, wordt berekend wat op de ingevulde einddatum uw spaartegoed naar verwachting netto waard zal zijn als u spaart in tijd (bij uw werkgever) of in geld (in de levensloopregeling).</a:t>
          </a:r>
        </a:p>
      </xdr:txBody>
    </xdr:sp>
    <xdr:clientData/>
  </xdr:oneCellAnchor>
  <xdr:twoCellAnchor>
    <xdr:from>
      <xdr:col>0</xdr:col>
      <xdr:colOff>0</xdr:colOff>
      <xdr:row>0</xdr:row>
      <xdr:rowOff>0</xdr:rowOff>
    </xdr:from>
    <xdr:to>
      <xdr:col>18</xdr:col>
      <xdr:colOff>657225</xdr:colOff>
      <xdr:row>2</xdr:row>
      <xdr:rowOff>0</xdr:rowOff>
    </xdr:to>
    <xdr:sp>
      <xdr:nvSpPr>
        <xdr:cNvPr id="3" name="Rectangle 10"/>
        <xdr:cNvSpPr>
          <a:spLocks/>
        </xdr:cNvSpPr>
      </xdr:nvSpPr>
      <xdr:spPr>
        <a:xfrm>
          <a:off x="0" y="0"/>
          <a:ext cx="15725775" cy="533400"/>
        </a:xfrm>
        <a:prstGeom prst="rect">
          <a:avLst/>
        </a:prstGeom>
        <a:gradFill rotWithShape="1">
          <a:gsLst>
            <a:gs pos="0">
              <a:srgbClr val="CC0000"/>
            </a:gs>
            <a:gs pos="100000">
              <a:srgbClr val="66FF66"/>
            </a:gs>
          </a:gsLst>
          <a:lin ang="0" scaled="1"/>
        </a:gradFill>
        <a:ln w="9525" cmpd="sng">
          <a:solidFill>
            <a:srgbClr val="000000"/>
          </a:solidFill>
          <a:headEnd type="none"/>
          <a:tailEnd type="none"/>
        </a:ln>
      </xdr:spPr>
      <xdr:txBody>
        <a:bodyPr vertOverflow="clip" wrap="square"/>
        <a:p>
          <a:pPr algn="l">
            <a:defRPr/>
          </a:pPr>
          <a:r>
            <a:rPr lang="en-US" cap="none" sz="900" b="0" i="0" u="none" baseline="0">
              <a:latin typeface="Verdana"/>
              <a:ea typeface="Verdana"/>
              <a:cs typeface="Verdana"/>
            </a:rPr>
            <a:t>
                 </a:t>
          </a:r>
          <a:r>
            <a:rPr lang="en-US" cap="none" sz="1600" b="0" i="0" u="none" baseline="0">
              <a:solidFill>
                <a:srgbClr val="FFFFFF"/>
              </a:solidFill>
              <a:latin typeface="Verdana"/>
              <a:ea typeface="Verdana"/>
              <a:cs typeface="Verdana"/>
            </a:rPr>
            <a:t>Levensfasebudget: Mijn spaartegoed</a:t>
          </a:r>
        </a:p>
      </xdr:txBody>
    </xdr:sp>
    <xdr:clientData/>
  </xdr:twoCellAnchor>
  <xdr:twoCellAnchor>
    <xdr:from>
      <xdr:col>7</xdr:col>
      <xdr:colOff>266700</xdr:colOff>
      <xdr:row>3</xdr:row>
      <xdr:rowOff>123825</xdr:rowOff>
    </xdr:from>
    <xdr:to>
      <xdr:col>8</xdr:col>
      <xdr:colOff>628650</xdr:colOff>
      <xdr:row>5</xdr:row>
      <xdr:rowOff>152400</xdr:rowOff>
    </xdr:to>
    <xdr:sp>
      <xdr:nvSpPr>
        <xdr:cNvPr id="4" name="Rectangle 12">
          <a:hlinkClick r:id="rId4"/>
        </xdr:cNvPr>
        <xdr:cNvSpPr>
          <a:spLocks/>
        </xdr:cNvSpPr>
      </xdr:nvSpPr>
      <xdr:spPr>
        <a:xfrm>
          <a:off x="7791450" y="771525"/>
          <a:ext cx="1047750" cy="314325"/>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Vorige</a:t>
          </a:r>
        </a:p>
      </xdr:txBody>
    </xdr:sp>
    <xdr:clientData/>
  </xdr:twoCellAnchor>
  <xdr:twoCellAnchor editAs="oneCell">
    <xdr:from>
      <xdr:col>12</xdr:col>
      <xdr:colOff>152400</xdr:colOff>
      <xdr:row>3</xdr:row>
      <xdr:rowOff>57150</xdr:rowOff>
    </xdr:from>
    <xdr:to>
      <xdr:col>14</xdr:col>
      <xdr:colOff>57150</xdr:colOff>
      <xdr:row>13</xdr:row>
      <xdr:rowOff>38100</xdr:rowOff>
    </xdr:to>
    <xdr:pic>
      <xdr:nvPicPr>
        <xdr:cNvPr id="5" name="Picture 18"/>
        <xdr:cNvPicPr preferRelativeResize="1">
          <a:picLocks noChangeAspect="1"/>
        </xdr:cNvPicPr>
      </xdr:nvPicPr>
      <xdr:blipFill>
        <a:blip r:embed="rId5"/>
        <a:stretch>
          <a:fillRect/>
        </a:stretch>
      </xdr:blipFill>
      <xdr:spPr>
        <a:xfrm>
          <a:off x="11106150" y="704850"/>
          <a:ext cx="1276350" cy="1438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200025</xdr:colOff>
      <xdr:row>0</xdr:row>
      <xdr:rowOff>762000</xdr:rowOff>
    </xdr:to>
    <xdr:sp>
      <xdr:nvSpPr>
        <xdr:cNvPr id="1" name="Rectangle 2"/>
        <xdr:cNvSpPr>
          <a:spLocks/>
        </xdr:cNvSpPr>
      </xdr:nvSpPr>
      <xdr:spPr>
        <a:xfrm>
          <a:off x="9525" y="0"/>
          <a:ext cx="14620875" cy="762000"/>
        </a:xfrm>
        <a:prstGeom prst="rect">
          <a:avLst/>
        </a:prstGeom>
        <a:gradFill rotWithShape="1">
          <a:gsLst>
            <a:gs pos="0">
              <a:srgbClr val="CC0000"/>
            </a:gs>
            <a:gs pos="100000">
              <a:srgbClr val="66FF66"/>
            </a:gs>
          </a:gsLst>
          <a:lin ang="0" scaled="1"/>
        </a:gradFill>
        <a:ln w="9525" cmpd="sng">
          <a:solidFill>
            <a:srgbClr val="000000"/>
          </a:solidFill>
          <a:headEnd type="none"/>
          <a:tailEnd type="none"/>
        </a:ln>
      </xdr:spPr>
      <xdr:txBody>
        <a:bodyPr vertOverflow="clip" wrap="square"/>
        <a:p>
          <a:pPr algn="l">
            <a:defRPr/>
          </a:pPr>
          <a:r>
            <a:rPr lang="en-US" cap="none" sz="900" b="0" i="0" u="none" baseline="0">
              <a:latin typeface="Verdana"/>
              <a:ea typeface="Verdana"/>
              <a:cs typeface="Verdana"/>
            </a:rPr>
            <a:t>
                 </a:t>
          </a:r>
          <a:r>
            <a:rPr lang="en-US" cap="none" sz="1600" b="0" i="0" u="none" baseline="0">
              <a:solidFill>
                <a:srgbClr val="FFFFFF"/>
              </a:solidFill>
              <a:latin typeface="Verdana"/>
              <a:ea typeface="Verdana"/>
              <a:cs typeface="Verdana"/>
            </a:rPr>
            <a:t>Levensfasebudget: Toelichting</a:t>
          </a:r>
        </a:p>
      </xdr:txBody>
    </xdr:sp>
    <xdr:clientData/>
  </xdr:twoCellAnchor>
  <xdr:twoCellAnchor>
    <xdr:from>
      <xdr:col>4</xdr:col>
      <xdr:colOff>180975</xdr:colOff>
      <xdr:row>2</xdr:row>
      <xdr:rowOff>238125</xdr:rowOff>
    </xdr:from>
    <xdr:to>
      <xdr:col>5</xdr:col>
      <xdr:colOff>104775</xdr:colOff>
      <xdr:row>2</xdr:row>
      <xdr:rowOff>514350</xdr:rowOff>
    </xdr:to>
    <xdr:sp>
      <xdr:nvSpPr>
        <xdr:cNvPr id="2" name="Rectangle 6">
          <a:hlinkClick r:id="rId1"/>
        </xdr:cNvPr>
        <xdr:cNvSpPr>
          <a:spLocks/>
        </xdr:cNvSpPr>
      </xdr:nvSpPr>
      <xdr:spPr>
        <a:xfrm>
          <a:off x="8439150" y="1247775"/>
          <a:ext cx="609600" cy="276225"/>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twoCellAnchor>
    <xdr:from>
      <xdr:col>4</xdr:col>
      <xdr:colOff>180975</xdr:colOff>
      <xdr:row>4</xdr:row>
      <xdr:rowOff>276225</xdr:rowOff>
    </xdr:from>
    <xdr:to>
      <xdr:col>5</xdr:col>
      <xdr:colOff>104775</xdr:colOff>
      <xdr:row>4</xdr:row>
      <xdr:rowOff>600075</xdr:rowOff>
    </xdr:to>
    <xdr:sp>
      <xdr:nvSpPr>
        <xdr:cNvPr id="3" name="Rectangle 7">
          <a:hlinkClick r:id="rId2"/>
        </xdr:cNvPr>
        <xdr:cNvSpPr>
          <a:spLocks/>
        </xdr:cNvSpPr>
      </xdr:nvSpPr>
      <xdr:spPr>
        <a:xfrm>
          <a:off x="8439150" y="2390775"/>
          <a:ext cx="60960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twoCellAnchor>
    <xdr:from>
      <xdr:col>4</xdr:col>
      <xdr:colOff>190500</xdr:colOff>
      <xdr:row>6</xdr:row>
      <xdr:rowOff>171450</xdr:rowOff>
    </xdr:from>
    <xdr:to>
      <xdr:col>5</xdr:col>
      <xdr:colOff>114300</xdr:colOff>
      <xdr:row>6</xdr:row>
      <xdr:rowOff>495300</xdr:rowOff>
    </xdr:to>
    <xdr:sp>
      <xdr:nvSpPr>
        <xdr:cNvPr id="4" name="Rectangle 8">
          <a:hlinkClick r:id="rId3"/>
        </xdr:cNvPr>
        <xdr:cNvSpPr>
          <a:spLocks/>
        </xdr:cNvSpPr>
      </xdr:nvSpPr>
      <xdr:spPr>
        <a:xfrm>
          <a:off x="8448675" y="3248025"/>
          <a:ext cx="60960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twoCellAnchor>
    <xdr:from>
      <xdr:col>4</xdr:col>
      <xdr:colOff>152400</xdr:colOff>
      <xdr:row>20</xdr:row>
      <xdr:rowOff>95250</xdr:rowOff>
    </xdr:from>
    <xdr:to>
      <xdr:col>5</xdr:col>
      <xdr:colOff>76200</xdr:colOff>
      <xdr:row>20</xdr:row>
      <xdr:rowOff>419100</xdr:rowOff>
    </xdr:to>
    <xdr:sp>
      <xdr:nvSpPr>
        <xdr:cNvPr id="5" name="Rectangle 10">
          <a:hlinkClick r:id="rId4"/>
        </xdr:cNvPr>
        <xdr:cNvSpPr>
          <a:spLocks/>
        </xdr:cNvSpPr>
      </xdr:nvSpPr>
      <xdr:spPr>
        <a:xfrm>
          <a:off x="8410575" y="7315200"/>
          <a:ext cx="60960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twoCellAnchor>
    <xdr:from>
      <xdr:col>4</xdr:col>
      <xdr:colOff>190500</xdr:colOff>
      <xdr:row>12</xdr:row>
      <xdr:rowOff>47625</xdr:rowOff>
    </xdr:from>
    <xdr:to>
      <xdr:col>5</xdr:col>
      <xdr:colOff>114300</xdr:colOff>
      <xdr:row>12</xdr:row>
      <xdr:rowOff>371475</xdr:rowOff>
    </xdr:to>
    <xdr:sp>
      <xdr:nvSpPr>
        <xdr:cNvPr id="6" name="Rectangle 11">
          <a:hlinkClick r:id="rId5"/>
        </xdr:cNvPr>
        <xdr:cNvSpPr>
          <a:spLocks/>
        </xdr:cNvSpPr>
      </xdr:nvSpPr>
      <xdr:spPr>
        <a:xfrm>
          <a:off x="8448675" y="5229225"/>
          <a:ext cx="60960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twoCellAnchor>
    <xdr:from>
      <xdr:col>4</xdr:col>
      <xdr:colOff>180975</xdr:colOff>
      <xdr:row>25</xdr:row>
      <xdr:rowOff>200025</xdr:rowOff>
    </xdr:from>
    <xdr:to>
      <xdr:col>5</xdr:col>
      <xdr:colOff>104775</xdr:colOff>
      <xdr:row>26</xdr:row>
      <xdr:rowOff>285750</xdr:rowOff>
    </xdr:to>
    <xdr:sp>
      <xdr:nvSpPr>
        <xdr:cNvPr id="7" name="Rectangle 12">
          <a:hlinkClick r:id="rId6"/>
        </xdr:cNvPr>
        <xdr:cNvSpPr>
          <a:spLocks/>
        </xdr:cNvSpPr>
      </xdr:nvSpPr>
      <xdr:spPr>
        <a:xfrm>
          <a:off x="8439150" y="8562975"/>
          <a:ext cx="609600" cy="333375"/>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twoCellAnchor>
    <xdr:from>
      <xdr:col>4</xdr:col>
      <xdr:colOff>180975</xdr:colOff>
      <xdr:row>27</xdr:row>
      <xdr:rowOff>95250</xdr:rowOff>
    </xdr:from>
    <xdr:to>
      <xdr:col>5</xdr:col>
      <xdr:colOff>104775</xdr:colOff>
      <xdr:row>28</xdr:row>
      <xdr:rowOff>171450</xdr:rowOff>
    </xdr:to>
    <xdr:sp>
      <xdr:nvSpPr>
        <xdr:cNvPr id="8" name="Rectangle 13">
          <a:hlinkClick r:id="rId7"/>
        </xdr:cNvPr>
        <xdr:cNvSpPr>
          <a:spLocks/>
        </xdr:cNvSpPr>
      </xdr:nvSpPr>
      <xdr:spPr>
        <a:xfrm>
          <a:off x="8439150" y="9134475"/>
          <a:ext cx="60960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twoCellAnchor>
    <xdr:from>
      <xdr:col>4</xdr:col>
      <xdr:colOff>190500</xdr:colOff>
      <xdr:row>7</xdr:row>
      <xdr:rowOff>180975</xdr:rowOff>
    </xdr:from>
    <xdr:to>
      <xdr:col>5</xdr:col>
      <xdr:colOff>114300</xdr:colOff>
      <xdr:row>8</xdr:row>
      <xdr:rowOff>266700</xdr:rowOff>
    </xdr:to>
    <xdr:sp>
      <xdr:nvSpPr>
        <xdr:cNvPr id="9" name="Rectangle 14">
          <a:hlinkClick r:id="rId8"/>
        </xdr:cNvPr>
        <xdr:cNvSpPr>
          <a:spLocks/>
        </xdr:cNvSpPr>
      </xdr:nvSpPr>
      <xdr:spPr>
        <a:xfrm>
          <a:off x="8448675" y="4114800"/>
          <a:ext cx="609600" cy="333375"/>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twoCellAnchor editAs="oneCell">
    <xdr:from>
      <xdr:col>7</xdr:col>
      <xdr:colOff>95250</xdr:colOff>
      <xdr:row>2</xdr:row>
      <xdr:rowOff>238125</xdr:rowOff>
    </xdr:from>
    <xdr:to>
      <xdr:col>9</xdr:col>
      <xdr:colOff>0</xdr:colOff>
      <xdr:row>4</xdr:row>
      <xdr:rowOff>466725</xdr:rowOff>
    </xdr:to>
    <xdr:pic>
      <xdr:nvPicPr>
        <xdr:cNvPr id="10" name="Picture 16"/>
        <xdr:cNvPicPr preferRelativeResize="1">
          <a:picLocks noChangeAspect="1"/>
        </xdr:cNvPicPr>
      </xdr:nvPicPr>
      <xdr:blipFill>
        <a:blip r:embed="rId9"/>
        <a:stretch>
          <a:fillRect/>
        </a:stretch>
      </xdr:blipFill>
      <xdr:spPr>
        <a:xfrm>
          <a:off x="10410825" y="1247775"/>
          <a:ext cx="1276350" cy="1333500"/>
        </a:xfrm>
        <a:prstGeom prst="rect">
          <a:avLst/>
        </a:prstGeom>
        <a:noFill/>
        <a:ln w="9525" cmpd="sng">
          <a:noFill/>
        </a:ln>
      </xdr:spPr>
    </xdr:pic>
    <xdr:clientData/>
  </xdr:twoCellAnchor>
  <xdr:twoCellAnchor>
    <xdr:from>
      <xdr:col>4</xdr:col>
      <xdr:colOff>190500</xdr:colOff>
      <xdr:row>9</xdr:row>
      <xdr:rowOff>104775</xdr:rowOff>
    </xdr:from>
    <xdr:to>
      <xdr:col>5</xdr:col>
      <xdr:colOff>114300</xdr:colOff>
      <xdr:row>11</xdr:row>
      <xdr:rowOff>0</xdr:rowOff>
    </xdr:to>
    <xdr:sp>
      <xdr:nvSpPr>
        <xdr:cNvPr id="11" name="Rectangle 17">
          <a:hlinkClick r:id="rId10"/>
        </xdr:cNvPr>
        <xdr:cNvSpPr>
          <a:spLocks/>
        </xdr:cNvSpPr>
      </xdr:nvSpPr>
      <xdr:spPr>
        <a:xfrm>
          <a:off x="8448675" y="4714875"/>
          <a:ext cx="609600" cy="323850"/>
        </a:xfrm>
        <a:prstGeom prst="roundRect">
          <a:avLst/>
        </a:prstGeom>
        <a:gradFill rotWithShape="1">
          <a:gsLst>
            <a:gs pos="0">
              <a:srgbClr val="6565B2"/>
            </a:gs>
            <a:gs pos="100000">
              <a:srgbClr val="000080"/>
            </a:gs>
          </a:gsLst>
          <a:path path="rect">
            <a:fillToRect l="50000" t="50000" r="50000" b="50000"/>
          </a:path>
        </a:gra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Verdana"/>
              <a:ea typeface="Verdana"/>
              <a:cs typeface="Verdana"/>
            </a:rPr>
            <a:t>Terug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eec\Local%20Settings\Temporary%20Internet%20Files\OLKF\Documents%20and%20Settings\giea\Local%20Settings\Temporary%20Internet%20Files\OLK137\Rekenmodel%20levensfasebeleid%20CAO%20GGZ_Definitieve%20versie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eec\Local%20Settings\Temporary%20Internet%20Files\OLKF\Documents%20and%20Settings\veof\Local%20Settings\Temporary%20Internet%20Files\OLK12\Keuzehulp%20Verlofbudget%20voor%20de%20CAO%20Jeugdzorg%20versie%200%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eec\Local%20Settings\Temporary%20Internet%20Files\OLKF\Documents%20and%20Settings\giea\Local%20Settings\Temporary%20Internet%20Files\OLK137\Rekenmodel%20levensfasebeleid%20CAO%20GGZ%20CAO%20akkoo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er_parameters"/>
      <sheetName val="invoer_huidig CAO-verlof"/>
      <sheetName val="uitstroomkansen"/>
      <sheetName val="groeiverdeling"/>
      <sheetName val="grafiekvoorstelggzntotaal"/>
      <sheetName val="grafiekvoorstelbondentotaal"/>
      <sheetName val="grafiektotaal"/>
      <sheetName val="grafiekvoorstelggzngemiddeld"/>
      <sheetName val="grafiekvoorstelbondengemiddeld"/>
      <sheetName val="grafiekgemiddeld"/>
      <sheetName val="ontwikkeling in uren"/>
      <sheetName val="ontwikkeling in euro's"/>
      <sheetName val="rechtenoverzichtggzn"/>
      <sheetName val="rechtenoverzichtggznkosten"/>
      <sheetName val="rechtenoverzichtbonden"/>
      <sheetName val="rechtenoverzichtbondenkosten"/>
      <sheetName val="vergelijkingrechten"/>
      <sheetName val="vergelijkingrechtenkosten"/>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namen"/>
      <sheetName val="carriere"/>
      <sheetName val="maatman"/>
    </sheetNames>
    <sheetDataSet>
      <sheetData sheetId="0">
        <row r="5">
          <cell r="C5">
            <v>0.055</v>
          </cell>
        </row>
        <row r="20">
          <cell r="B20">
            <v>2010</v>
          </cell>
          <cell r="C20">
            <v>15</v>
          </cell>
          <cell r="D20">
            <v>0.00907639</v>
          </cell>
        </row>
        <row r="21">
          <cell r="B21">
            <v>2011</v>
          </cell>
          <cell r="C21">
            <v>18</v>
          </cell>
          <cell r="D21">
            <v>0.01089166</v>
          </cell>
        </row>
        <row r="22">
          <cell r="B22">
            <v>2012</v>
          </cell>
          <cell r="C22">
            <v>21</v>
          </cell>
          <cell r="D22">
            <v>0.01270694</v>
          </cell>
        </row>
        <row r="23">
          <cell r="B23">
            <v>2013</v>
          </cell>
          <cell r="C23">
            <v>24</v>
          </cell>
          <cell r="D23">
            <v>0.01452222</v>
          </cell>
        </row>
        <row r="24">
          <cell r="B24">
            <v>2014</v>
          </cell>
          <cell r="C24">
            <v>27</v>
          </cell>
          <cell r="D24">
            <v>0.0163375</v>
          </cell>
        </row>
        <row r="25">
          <cell r="B25">
            <v>2015</v>
          </cell>
          <cell r="C25">
            <v>30</v>
          </cell>
          <cell r="D25">
            <v>0.01815277</v>
          </cell>
        </row>
        <row r="26">
          <cell r="B26">
            <v>2016</v>
          </cell>
          <cell r="C26">
            <v>33</v>
          </cell>
          <cell r="D26">
            <v>0.01996805</v>
          </cell>
        </row>
        <row r="27">
          <cell r="B27">
            <v>2017</v>
          </cell>
          <cell r="C27">
            <v>36</v>
          </cell>
          <cell r="D27">
            <v>0.02178333</v>
          </cell>
        </row>
        <row r="28">
          <cell r="B28">
            <v>2018</v>
          </cell>
          <cell r="C28">
            <v>36</v>
          </cell>
          <cell r="D28">
            <v>0.02178333</v>
          </cell>
        </row>
        <row r="29">
          <cell r="B29">
            <v>2019</v>
          </cell>
          <cell r="C29">
            <v>36</v>
          </cell>
          <cell r="D29">
            <v>0.02178333</v>
          </cell>
        </row>
        <row r="30">
          <cell r="B30">
            <v>2020</v>
          </cell>
          <cell r="C30">
            <v>36</v>
          </cell>
          <cell r="D30">
            <v>0.02178333</v>
          </cell>
        </row>
        <row r="35">
          <cell r="B35">
            <v>2010</v>
          </cell>
          <cell r="C35">
            <v>0</v>
          </cell>
          <cell r="D35">
            <v>0</v>
          </cell>
        </row>
        <row r="36">
          <cell r="B36">
            <v>2011</v>
          </cell>
          <cell r="C36">
            <v>0</v>
          </cell>
          <cell r="D36">
            <v>0</v>
          </cell>
        </row>
        <row r="37">
          <cell r="B37">
            <v>2012</v>
          </cell>
          <cell r="C37">
            <v>0</v>
          </cell>
          <cell r="D37">
            <v>0</v>
          </cell>
        </row>
        <row r="38">
          <cell r="B38">
            <v>2013</v>
          </cell>
          <cell r="C38">
            <v>0</v>
          </cell>
          <cell r="D38">
            <v>0</v>
          </cell>
        </row>
        <row r="39">
          <cell r="B39">
            <v>2014</v>
          </cell>
          <cell r="C39">
            <v>0</v>
          </cell>
          <cell r="D39">
            <v>0</v>
          </cell>
        </row>
        <row r="40">
          <cell r="B40">
            <v>2015</v>
          </cell>
          <cell r="C40">
            <v>0</v>
          </cell>
          <cell r="D40">
            <v>0</v>
          </cell>
        </row>
        <row r="41">
          <cell r="B41">
            <v>2016</v>
          </cell>
          <cell r="C41">
            <v>0</v>
          </cell>
          <cell r="D41">
            <v>0</v>
          </cell>
        </row>
        <row r="42">
          <cell r="B42">
            <v>2017</v>
          </cell>
          <cell r="C42">
            <v>0</v>
          </cell>
          <cell r="D42">
            <v>0</v>
          </cell>
        </row>
        <row r="43">
          <cell r="B43">
            <v>2018</v>
          </cell>
          <cell r="C43">
            <v>0</v>
          </cell>
          <cell r="D43">
            <v>0</v>
          </cell>
        </row>
        <row r="44">
          <cell r="B44">
            <v>2019</v>
          </cell>
          <cell r="C44">
            <v>0</v>
          </cell>
          <cell r="D44">
            <v>0</v>
          </cell>
        </row>
        <row r="45">
          <cell r="B45">
            <v>2020</v>
          </cell>
          <cell r="C45">
            <v>0</v>
          </cell>
          <cell r="D45">
            <v>0</v>
          </cell>
        </row>
        <row r="58">
          <cell r="B58">
            <v>2010</v>
          </cell>
          <cell r="C58">
            <v>15</v>
          </cell>
          <cell r="D58">
            <v>15</v>
          </cell>
        </row>
        <row r="59">
          <cell r="B59">
            <v>2011</v>
          </cell>
          <cell r="C59">
            <v>12</v>
          </cell>
          <cell r="D59">
            <v>12</v>
          </cell>
        </row>
        <row r="60">
          <cell r="B60">
            <v>2012</v>
          </cell>
          <cell r="C60">
            <v>9</v>
          </cell>
          <cell r="D60">
            <v>9</v>
          </cell>
        </row>
        <row r="61">
          <cell r="B61">
            <v>2013</v>
          </cell>
          <cell r="C61">
            <v>6</v>
          </cell>
          <cell r="D61">
            <v>6</v>
          </cell>
        </row>
        <row r="62">
          <cell r="B62">
            <v>2014</v>
          </cell>
          <cell r="C62">
            <v>3</v>
          </cell>
          <cell r="D62">
            <v>3</v>
          </cell>
        </row>
        <row r="63">
          <cell r="B63">
            <v>2015</v>
          </cell>
          <cell r="C63">
            <v>0</v>
          </cell>
          <cell r="D63">
            <v>0</v>
          </cell>
        </row>
        <row r="64">
          <cell r="B64">
            <v>2016</v>
          </cell>
          <cell r="C64">
            <v>0</v>
          </cell>
          <cell r="D64">
            <v>0</v>
          </cell>
        </row>
        <row r="65">
          <cell r="B65">
            <v>2017</v>
          </cell>
          <cell r="C65">
            <v>0</v>
          </cell>
          <cell r="D65">
            <v>0</v>
          </cell>
        </row>
        <row r="66">
          <cell r="B66">
            <v>2018</v>
          </cell>
          <cell r="C66">
            <v>0</v>
          </cell>
          <cell r="D66">
            <v>0</v>
          </cell>
        </row>
        <row r="67">
          <cell r="B67">
            <v>2019</v>
          </cell>
          <cell r="C67">
            <v>0</v>
          </cell>
          <cell r="D67">
            <v>0</v>
          </cell>
        </row>
        <row r="68">
          <cell r="B68">
            <v>2020</v>
          </cell>
          <cell r="C68">
            <v>0</v>
          </cell>
          <cell r="D68">
            <v>0</v>
          </cell>
        </row>
        <row r="77">
          <cell r="B77">
            <v>0</v>
          </cell>
          <cell r="C77">
            <v>0</v>
          </cell>
          <cell r="D77">
            <v>0</v>
          </cell>
          <cell r="E77">
            <v>0</v>
          </cell>
          <cell r="F77">
            <v>0</v>
          </cell>
        </row>
        <row r="78">
          <cell r="B78">
            <v>44</v>
          </cell>
          <cell r="C78">
            <v>0</v>
          </cell>
          <cell r="D78">
            <v>0</v>
          </cell>
          <cell r="E78">
            <v>0</v>
          </cell>
          <cell r="F78">
            <v>0</v>
          </cell>
        </row>
        <row r="79">
          <cell r="B79">
            <v>45</v>
          </cell>
          <cell r="C79">
            <v>0</v>
          </cell>
          <cell r="D79">
            <v>0</v>
          </cell>
          <cell r="E79">
            <v>0</v>
          </cell>
          <cell r="F79">
            <v>0</v>
          </cell>
        </row>
        <row r="80">
          <cell r="B80">
            <v>46</v>
          </cell>
          <cell r="C80">
            <v>0</v>
          </cell>
          <cell r="D80">
            <v>0</v>
          </cell>
          <cell r="E80">
            <v>0</v>
          </cell>
          <cell r="F80">
            <v>0</v>
          </cell>
        </row>
        <row r="81">
          <cell r="B81">
            <v>47</v>
          </cell>
          <cell r="C81">
            <v>0</v>
          </cell>
          <cell r="D81">
            <v>0</v>
          </cell>
          <cell r="E81">
            <v>0</v>
          </cell>
          <cell r="F81">
            <v>0</v>
          </cell>
        </row>
        <row r="82">
          <cell r="B82">
            <v>48</v>
          </cell>
          <cell r="C82">
            <v>0</v>
          </cell>
          <cell r="D82">
            <v>0</v>
          </cell>
          <cell r="E82">
            <v>0</v>
          </cell>
          <cell r="F82">
            <v>0</v>
          </cell>
        </row>
        <row r="83">
          <cell r="B83">
            <v>49</v>
          </cell>
          <cell r="C83">
            <v>0</v>
          </cell>
          <cell r="D83">
            <v>0</v>
          </cell>
          <cell r="E83">
            <v>30</v>
          </cell>
          <cell r="F83">
            <v>30</v>
          </cell>
        </row>
        <row r="84">
          <cell r="B84">
            <v>50</v>
          </cell>
          <cell r="C84">
            <v>0</v>
          </cell>
          <cell r="D84">
            <v>0</v>
          </cell>
          <cell r="E84">
            <v>60</v>
          </cell>
          <cell r="F84">
            <v>60</v>
          </cell>
        </row>
        <row r="85">
          <cell r="B85">
            <v>51</v>
          </cell>
          <cell r="C85">
            <v>0</v>
          </cell>
          <cell r="D85">
            <v>0</v>
          </cell>
          <cell r="E85">
            <v>80</v>
          </cell>
          <cell r="F85">
            <v>80</v>
          </cell>
        </row>
        <row r="86">
          <cell r="B86">
            <v>52</v>
          </cell>
          <cell r="C86">
            <v>0</v>
          </cell>
          <cell r="D86">
            <v>0</v>
          </cell>
          <cell r="E86">
            <v>100</v>
          </cell>
          <cell r="F86">
            <v>100</v>
          </cell>
        </row>
        <row r="87">
          <cell r="B87">
            <v>53</v>
          </cell>
          <cell r="C87">
            <v>0</v>
          </cell>
          <cell r="D87">
            <v>0</v>
          </cell>
          <cell r="E87">
            <v>110</v>
          </cell>
          <cell r="F87">
            <v>110</v>
          </cell>
        </row>
        <row r="88">
          <cell r="B88">
            <v>54</v>
          </cell>
          <cell r="C88">
            <v>0</v>
          </cell>
          <cell r="D88">
            <v>0</v>
          </cell>
          <cell r="E88">
            <v>126</v>
          </cell>
          <cell r="F88">
            <v>126</v>
          </cell>
        </row>
        <row r="89">
          <cell r="B89">
            <v>59</v>
          </cell>
          <cell r="C89">
            <v>0</v>
          </cell>
          <cell r="D89">
            <v>0</v>
          </cell>
          <cell r="E89">
            <v>126</v>
          </cell>
          <cell r="F89">
            <v>140</v>
          </cell>
        </row>
        <row r="90">
          <cell r="B90">
            <v>65</v>
          </cell>
          <cell r="C90">
            <v>0</v>
          </cell>
          <cell r="D90">
            <v>0</v>
          </cell>
          <cell r="E90">
            <v>0</v>
          </cell>
          <cell r="F90">
            <v>0</v>
          </cell>
        </row>
        <row r="97">
          <cell r="B97">
            <v>2010</v>
          </cell>
          <cell r="C97">
            <v>15</v>
          </cell>
          <cell r="D97">
            <v>0.00907639</v>
          </cell>
        </row>
        <row r="98">
          <cell r="B98">
            <v>2011</v>
          </cell>
          <cell r="C98">
            <v>20</v>
          </cell>
          <cell r="D98">
            <v>0.01210185</v>
          </cell>
        </row>
        <row r="99">
          <cell r="B99">
            <v>2012</v>
          </cell>
          <cell r="C99">
            <v>25</v>
          </cell>
          <cell r="D99">
            <v>0.01512731</v>
          </cell>
        </row>
        <row r="100">
          <cell r="B100">
            <v>2013</v>
          </cell>
          <cell r="C100">
            <v>30</v>
          </cell>
          <cell r="D100">
            <v>0.01815277</v>
          </cell>
        </row>
        <row r="101">
          <cell r="B101">
            <v>2014</v>
          </cell>
          <cell r="C101">
            <v>35</v>
          </cell>
          <cell r="D101">
            <v>0.02117824</v>
          </cell>
        </row>
        <row r="107">
          <cell r="C107" t="str">
            <v>45+ uren</v>
          </cell>
        </row>
        <row r="108">
          <cell r="B108">
            <v>0</v>
          </cell>
          <cell r="C108">
            <v>0</v>
          </cell>
          <cell r="D108">
            <v>0</v>
          </cell>
          <cell r="E108">
            <v>0</v>
          </cell>
          <cell r="F108">
            <v>0</v>
          </cell>
        </row>
        <row r="109">
          <cell r="B109">
            <v>44</v>
          </cell>
          <cell r="C109">
            <v>14.4</v>
          </cell>
          <cell r="D109">
            <v>21.6</v>
          </cell>
          <cell r="E109">
            <v>82.8</v>
          </cell>
          <cell r="F109">
            <v>82.8</v>
          </cell>
        </row>
        <row r="110">
          <cell r="B110">
            <v>49</v>
          </cell>
          <cell r="C110">
            <v>14.4</v>
          </cell>
          <cell r="D110">
            <v>21.6</v>
          </cell>
          <cell r="E110">
            <v>82.8</v>
          </cell>
          <cell r="F110">
            <v>82.8</v>
          </cell>
        </row>
        <row r="111">
          <cell r="B111">
            <v>50</v>
          </cell>
          <cell r="C111">
            <v>0</v>
          </cell>
          <cell r="D111">
            <v>28.8</v>
          </cell>
          <cell r="E111">
            <v>99.4</v>
          </cell>
          <cell r="F111">
            <v>99.4</v>
          </cell>
        </row>
        <row r="112">
          <cell r="B112">
            <v>51</v>
          </cell>
          <cell r="C112">
            <v>0</v>
          </cell>
          <cell r="D112">
            <v>28.8</v>
          </cell>
          <cell r="E112">
            <v>115.9</v>
          </cell>
          <cell r="F112">
            <v>115.9</v>
          </cell>
        </row>
        <row r="113">
          <cell r="B113">
            <v>52</v>
          </cell>
          <cell r="C113">
            <v>0</v>
          </cell>
          <cell r="D113">
            <v>28.8</v>
          </cell>
          <cell r="E113">
            <v>132.5</v>
          </cell>
          <cell r="F113">
            <v>132.5</v>
          </cell>
        </row>
        <row r="114">
          <cell r="B114">
            <v>53</v>
          </cell>
          <cell r="C114">
            <v>0</v>
          </cell>
          <cell r="D114">
            <v>28.8</v>
          </cell>
          <cell r="E114">
            <v>149</v>
          </cell>
          <cell r="F114">
            <v>149</v>
          </cell>
        </row>
        <row r="115">
          <cell r="B115">
            <v>54</v>
          </cell>
          <cell r="C115">
            <v>0</v>
          </cell>
          <cell r="D115">
            <v>28.8</v>
          </cell>
          <cell r="E115">
            <v>165.6</v>
          </cell>
          <cell r="F115">
            <v>165.6</v>
          </cell>
        </row>
        <row r="116">
          <cell r="B116">
            <v>59</v>
          </cell>
          <cell r="C116">
            <v>0</v>
          </cell>
          <cell r="D116">
            <v>28.8</v>
          </cell>
          <cell r="E116">
            <v>165.6</v>
          </cell>
          <cell r="F116">
            <v>180</v>
          </cell>
        </row>
        <row r="119">
          <cell r="C119">
            <v>31.99993678088254</v>
          </cell>
        </row>
        <row r="128">
          <cell r="C12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kom"/>
      <sheetName val="Invulblad"/>
      <sheetName val="Uw verlofbudget"/>
      <sheetName val="Kies uw doel"/>
      <sheetName val="... later extra vrije tijd"/>
      <sheetName val="... nu meer geld"/>
      <sheetName val="... geld sparen"/>
      <sheetName val="... meerkeuze"/>
      <sheetName val="Uw keuze"/>
      <sheetName val="Rekenbla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oer_parameters"/>
      <sheetName val="invoer_huidig CAO-verlof"/>
      <sheetName val="uitstroomkansen"/>
      <sheetName val="groeiverdeling"/>
      <sheetName val="grafiektotaal"/>
      <sheetName val="grafiekgemiddeld"/>
      <sheetName val="ontwikkeling in uren"/>
      <sheetName val="ontwikkeling in euro's"/>
      <sheetName val="rechtenoverzichtggzn"/>
      <sheetName val="rechtenoverzichtggznstd"/>
      <sheetName val="rechtenoverzichtggznovg"/>
      <sheetName val="rechtenoverzichtggznkosten"/>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namen"/>
      <sheetName val="carriere"/>
      <sheetName val="maatm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eaal.nl/" TargetMode="External" /><Relationship Id="rId2" Type="http://schemas.openxmlformats.org/officeDocument/2006/relationships/hyperlink" Target="http://www.pggm.nl/Particulieren/inkomenregelen/levensloop/levensloop.asp" TargetMode="External" /><Relationship Id="rId3" Type="http://schemas.openxmlformats.org/officeDocument/2006/relationships/hyperlink" Target="http://www.rabobank.nl/"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3"/>
  <dimension ref="B2:B2"/>
  <sheetViews>
    <sheetView showRowColHeaders="0" workbookViewId="0" topLeftCell="A1">
      <pane ySplit="2" topLeftCell="BM3" activePane="bottomLeft" state="frozen"/>
      <selection pane="topLeft" activeCell="J32" sqref="J32"/>
      <selection pane="bottomLeft" activeCell="N18" sqref="N18"/>
    </sheetView>
  </sheetViews>
  <sheetFormatPr defaultColWidth="9.00390625" defaultRowHeight="11.25"/>
  <cols>
    <col min="1" max="16384" width="9.00390625" style="3" customWidth="1"/>
  </cols>
  <sheetData>
    <row r="1" s="177" customFormat="1" ht="11.25"/>
    <row r="2" s="177" customFormat="1" ht="48.75" customHeight="1">
      <c r="B2" s="178" t="s">
        <v>86</v>
      </c>
    </row>
  </sheetData>
  <sheetProtection password="DCBC" sheet="1" objects="1" scenarios="1" selectLockedCells="1" selectUnlockedCells="1"/>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Blad5"/>
  <dimension ref="A1:AY56"/>
  <sheetViews>
    <sheetView showRowColHeaders="0" workbookViewId="0" topLeftCell="A7">
      <selection activeCell="F51" sqref="F51"/>
    </sheetView>
  </sheetViews>
  <sheetFormatPr defaultColWidth="9.00390625" defaultRowHeight="11.25"/>
  <cols>
    <col min="1" max="1" width="10.75390625" style="83" customWidth="1"/>
    <col min="2" max="21" width="9.00390625" style="83" customWidth="1"/>
    <col min="22" max="22" width="9.00390625" style="207" customWidth="1"/>
    <col min="23" max="16384" width="9.00390625" style="83" customWidth="1"/>
  </cols>
  <sheetData>
    <row r="1" s="74" customFormat="1" ht="11.25">
      <c r="V1" s="202"/>
    </row>
    <row r="2" spans="2:22" s="74" customFormat="1" ht="12.75">
      <c r="B2" s="75" t="s">
        <v>127</v>
      </c>
      <c r="V2" s="202"/>
    </row>
    <row r="3" spans="2:22" s="74" customFormat="1" ht="11.25">
      <c r="B3" s="76" t="s">
        <v>55</v>
      </c>
      <c r="C3" s="76">
        <v>2010</v>
      </c>
      <c r="V3" s="202"/>
    </row>
    <row r="4" s="74" customFormat="1" ht="11.25">
      <c r="V4" s="202"/>
    </row>
    <row r="5" spans="1:51" s="74" customFormat="1" ht="39.75" customHeight="1">
      <c r="A5" s="77" t="s">
        <v>56</v>
      </c>
      <c r="B5" s="78">
        <v>2010</v>
      </c>
      <c r="C5" s="78">
        <v>2011</v>
      </c>
      <c r="D5" s="78">
        <v>2012</v>
      </c>
      <c r="E5" s="78">
        <v>2013</v>
      </c>
      <c r="F5" s="78">
        <v>2014</v>
      </c>
      <c r="G5" s="78">
        <v>2015</v>
      </c>
      <c r="H5" s="78">
        <v>2016</v>
      </c>
      <c r="I5" s="78">
        <v>2017</v>
      </c>
      <c r="J5" s="78">
        <v>2018</v>
      </c>
      <c r="K5" s="78">
        <v>2019</v>
      </c>
      <c r="L5" s="78">
        <v>2020</v>
      </c>
      <c r="M5" s="78">
        <v>2021</v>
      </c>
      <c r="N5" s="78">
        <v>2022</v>
      </c>
      <c r="O5" s="78">
        <v>2023</v>
      </c>
      <c r="P5" s="78">
        <v>2024</v>
      </c>
      <c r="Q5" s="78">
        <v>2025</v>
      </c>
      <c r="R5" s="78">
        <v>2026</v>
      </c>
      <c r="S5" s="78">
        <v>2027</v>
      </c>
      <c r="T5" s="78">
        <v>2028</v>
      </c>
      <c r="U5" s="78">
        <v>2029</v>
      </c>
      <c r="V5" s="203">
        <v>2030</v>
      </c>
      <c r="W5" s="78">
        <v>2031</v>
      </c>
      <c r="X5" s="78">
        <v>2032</v>
      </c>
      <c r="Y5" s="78">
        <v>2033</v>
      </c>
      <c r="Z5" s="78">
        <v>2034</v>
      </c>
      <c r="AA5" s="78">
        <v>2035</v>
      </c>
      <c r="AB5" s="78">
        <v>2036</v>
      </c>
      <c r="AC5" s="78">
        <v>2037</v>
      </c>
      <c r="AD5" s="78">
        <v>2038</v>
      </c>
      <c r="AE5" s="78">
        <v>2039</v>
      </c>
      <c r="AF5" s="78">
        <v>2040</v>
      </c>
      <c r="AG5" s="78">
        <v>2041</v>
      </c>
      <c r="AH5" s="78">
        <v>2042</v>
      </c>
      <c r="AI5" s="78">
        <v>2043</v>
      </c>
      <c r="AJ5" s="78">
        <v>2044</v>
      </c>
      <c r="AK5" s="78">
        <v>2045</v>
      </c>
      <c r="AL5" s="78">
        <v>2046</v>
      </c>
      <c r="AM5" s="78">
        <v>2047</v>
      </c>
      <c r="AN5" s="78">
        <v>2048</v>
      </c>
      <c r="AO5" s="78">
        <v>2049</v>
      </c>
      <c r="AP5" s="78">
        <v>2050</v>
      </c>
      <c r="AQ5" s="78">
        <v>2051</v>
      </c>
      <c r="AR5" s="78">
        <v>2052</v>
      </c>
      <c r="AS5" s="78">
        <v>2053</v>
      </c>
      <c r="AT5" s="78">
        <v>2054</v>
      </c>
      <c r="AU5" s="78">
        <v>2055</v>
      </c>
      <c r="AV5" s="78">
        <v>2056</v>
      </c>
      <c r="AW5" s="78">
        <v>2057</v>
      </c>
      <c r="AX5" s="78">
        <v>2058</v>
      </c>
      <c r="AY5" s="78">
        <v>2059</v>
      </c>
    </row>
    <row r="6" spans="1:51" ht="11.25">
      <c r="A6" s="79">
        <v>15</v>
      </c>
      <c r="B6" s="80">
        <v>20</v>
      </c>
      <c r="C6" s="81">
        <v>30</v>
      </c>
      <c r="D6" s="82">
        <v>35</v>
      </c>
      <c r="E6" s="81">
        <v>35</v>
      </c>
      <c r="F6" s="82">
        <v>35</v>
      </c>
      <c r="G6" s="81">
        <v>35</v>
      </c>
      <c r="H6" s="82">
        <v>35</v>
      </c>
      <c r="I6" s="81">
        <v>35</v>
      </c>
      <c r="J6" s="82">
        <v>35</v>
      </c>
      <c r="K6" s="81">
        <v>35</v>
      </c>
      <c r="L6" s="82">
        <v>35</v>
      </c>
      <c r="M6" s="81">
        <v>35</v>
      </c>
      <c r="N6" s="82">
        <v>35</v>
      </c>
      <c r="O6" s="81">
        <v>35</v>
      </c>
      <c r="P6" s="82">
        <v>35</v>
      </c>
      <c r="Q6" s="81">
        <v>35</v>
      </c>
      <c r="R6" s="82">
        <v>35</v>
      </c>
      <c r="S6" s="81">
        <v>35</v>
      </c>
      <c r="T6" s="82">
        <v>35</v>
      </c>
      <c r="U6" s="81">
        <v>35</v>
      </c>
      <c r="V6" s="204">
        <v>35</v>
      </c>
      <c r="W6" s="199">
        <v>35</v>
      </c>
      <c r="X6" s="82">
        <v>35</v>
      </c>
      <c r="Y6" s="81">
        <v>35</v>
      </c>
      <c r="Z6" s="82">
        <v>35</v>
      </c>
      <c r="AA6" s="81">
        <v>35</v>
      </c>
      <c r="AB6" s="82">
        <v>35</v>
      </c>
      <c r="AC6" s="81">
        <v>35</v>
      </c>
      <c r="AD6" s="82">
        <v>35</v>
      </c>
      <c r="AE6" s="81">
        <v>35</v>
      </c>
      <c r="AF6" s="82">
        <v>35</v>
      </c>
      <c r="AG6" s="81">
        <v>35</v>
      </c>
      <c r="AH6" s="82">
        <v>35</v>
      </c>
      <c r="AI6" s="81">
        <v>35</v>
      </c>
      <c r="AJ6" s="82">
        <v>35</v>
      </c>
      <c r="AK6" s="81">
        <v>35</v>
      </c>
      <c r="AL6" s="82">
        <v>35</v>
      </c>
      <c r="AM6" s="81">
        <v>35</v>
      </c>
      <c r="AN6" s="82">
        <v>35</v>
      </c>
      <c r="AO6" s="81">
        <v>35</v>
      </c>
      <c r="AP6" s="82">
        <v>35</v>
      </c>
      <c r="AQ6" s="81">
        <v>35</v>
      </c>
      <c r="AR6" s="82">
        <v>35</v>
      </c>
      <c r="AS6" s="81">
        <v>35</v>
      </c>
      <c r="AT6" s="82">
        <v>35</v>
      </c>
      <c r="AU6" s="81">
        <v>35</v>
      </c>
      <c r="AV6" s="82">
        <v>35</v>
      </c>
      <c r="AW6" s="81">
        <v>35</v>
      </c>
      <c r="AX6" s="82">
        <v>35</v>
      </c>
      <c r="AY6" s="81">
        <f>AY5*Rekenblad!$D$30</f>
        <v>2059</v>
      </c>
    </row>
    <row r="7" spans="1:51" ht="11.25">
      <c r="A7" s="84">
        <v>16</v>
      </c>
      <c r="B7" s="85">
        <v>20</v>
      </c>
      <c r="C7" s="86">
        <v>30</v>
      </c>
      <c r="D7" s="87">
        <v>35</v>
      </c>
      <c r="E7" s="86">
        <v>35</v>
      </c>
      <c r="F7" s="87">
        <v>35</v>
      </c>
      <c r="G7" s="86">
        <v>35</v>
      </c>
      <c r="H7" s="87">
        <v>35</v>
      </c>
      <c r="I7" s="86">
        <v>35</v>
      </c>
      <c r="J7" s="87">
        <v>35</v>
      </c>
      <c r="K7" s="86">
        <v>35</v>
      </c>
      <c r="L7" s="87">
        <v>35</v>
      </c>
      <c r="M7" s="86">
        <v>35</v>
      </c>
      <c r="N7" s="87">
        <v>35</v>
      </c>
      <c r="O7" s="86">
        <v>35</v>
      </c>
      <c r="P7" s="87">
        <v>35</v>
      </c>
      <c r="Q7" s="86">
        <v>35</v>
      </c>
      <c r="R7" s="87">
        <v>35</v>
      </c>
      <c r="S7" s="86">
        <v>35</v>
      </c>
      <c r="T7" s="87">
        <v>35</v>
      </c>
      <c r="U7" s="86">
        <v>35</v>
      </c>
      <c r="V7" s="205">
        <v>35</v>
      </c>
      <c r="W7" s="200">
        <v>35</v>
      </c>
      <c r="X7" s="87">
        <v>35</v>
      </c>
      <c r="Y7" s="86">
        <v>35</v>
      </c>
      <c r="Z7" s="87">
        <v>35</v>
      </c>
      <c r="AA7" s="86">
        <v>35</v>
      </c>
      <c r="AB7" s="87">
        <v>35</v>
      </c>
      <c r="AC7" s="86">
        <v>35</v>
      </c>
      <c r="AD7" s="87">
        <v>35</v>
      </c>
      <c r="AE7" s="86">
        <v>35</v>
      </c>
      <c r="AF7" s="87">
        <v>35</v>
      </c>
      <c r="AG7" s="86">
        <v>35</v>
      </c>
      <c r="AH7" s="87">
        <v>35</v>
      </c>
      <c r="AI7" s="86">
        <v>35</v>
      </c>
      <c r="AJ7" s="87">
        <v>35</v>
      </c>
      <c r="AK7" s="86">
        <v>35</v>
      </c>
      <c r="AL7" s="87">
        <v>35</v>
      </c>
      <c r="AM7" s="86">
        <v>35</v>
      </c>
      <c r="AN7" s="87">
        <v>35</v>
      </c>
      <c r="AO7" s="86">
        <v>35</v>
      </c>
      <c r="AP7" s="87">
        <v>35</v>
      </c>
      <c r="AQ7" s="86">
        <v>35</v>
      </c>
      <c r="AR7" s="87">
        <v>35</v>
      </c>
      <c r="AS7" s="86">
        <v>35</v>
      </c>
      <c r="AT7" s="87">
        <v>35</v>
      </c>
      <c r="AU7" s="86">
        <v>35</v>
      </c>
      <c r="AV7" s="87">
        <v>35</v>
      </c>
      <c r="AW7" s="86">
        <v>35</v>
      </c>
      <c r="AX7" s="87">
        <f>AX6*Rekenblad!$D$30</f>
        <v>35</v>
      </c>
      <c r="AY7" s="86"/>
    </row>
    <row r="8" spans="1:51" ht="11.25">
      <c r="A8" s="84">
        <v>17</v>
      </c>
      <c r="B8" s="85">
        <v>20</v>
      </c>
      <c r="C8" s="86">
        <v>30</v>
      </c>
      <c r="D8" s="87">
        <v>35</v>
      </c>
      <c r="E8" s="86">
        <v>35</v>
      </c>
      <c r="F8" s="87">
        <v>35</v>
      </c>
      <c r="G8" s="86">
        <v>35</v>
      </c>
      <c r="H8" s="87">
        <v>35</v>
      </c>
      <c r="I8" s="86">
        <v>35</v>
      </c>
      <c r="J8" s="87">
        <v>35</v>
      </c>
      <c r="K8" s="86">
        <v>35</v>
      </c>
      <c r="L8" s="87">
        <v>35</v>
      </c>
      <c r="M8" s="86">
        <v>35</v>
      </c>
      <c r="N8" s="87">
        <v>35</v>
      </c>
      <c r="O8" s="86">
        <v>35</v>
      </c>
      <c r="P8" s="87">
        <v>35</v>
      </c>
      <c r="Q8" s="86">
        <v>35</v>
      </c>
      <c r="R8" s="87">
        <v>35</v>
      </c>
      <c r="S8" s="86">
        <v>35</v>
      </c>
      <c r="T8" s="87">
        <v>35</v>
      </c>
      <c r="U8" s="86">
        <v>35</v>
      </c>
      <c r="V8" s="205">
        <v>35</v>
      </c>
      <c r="W8" s="200">
        <v>35</v>
      </c>
      <c r="X8" s="87">
        <v>35</v>
      </c>
      <c r="Y8" s="86">
        <v>35</v>
      </c>
      <c r="Z8" s="87">
        <v>35</v>
      </c>
      <c r="AA8" s="86">
        <v>35</v>
      </c>
      <c r="AB8" s="87">
        <v>35</v>
      </c>
      <c r="AC8" s="86">
        <v>35</v>
      </c>
      <c r="AD8" s="87">
        <v>35</v>
      </c>
      <c r="AE8" s="86">
        <v>35</v>
      </c>
      <c r="AF8" s="87">
        <v>35</v>
      </c>
      <c r="AG8" s="86">
        <v>35</v>
      </c>
      <c r="AH8" s="87">
        <v>35</v>
      </c>
      <c r="AI8" s="86">
        <v>35</v>
      </c>
      <c r="AJ8" s="87">
        <v>35</v>
      </c>
      <c r="AK8" s="86">
        <v>35</v>
      </c>
      <c r="AL8" s="87">
        <v>35</v>
      </c>
      <c r="AM8" s="86">
        <v>35</v>
      </c>
      <c r="AN8" s="87">
        <v>35</v>
      </c>
      <c r="AO8" s="86">
        <v>35</v>
      </c>
      <c r="AP8" s="87">
        <v>35</v>
      </c>
      <c r="AQ8" s="86">
        <v>35</v>
      </c>
      <c r="AR8" s="87">
        <v>35</v>
      </c>
      <c r="AS8" s="86">
        <v>35</v>
      </c>
      <c r="AT8" s="87">
        <v>35</v>
      </c>
      <c r="AU8" s="86">
        <v>35</v>
      </c>
      <c r="AV8" s="87">
        <v>35</v>
      </c>
      <c r="AW8" s="86">
        <f>AW7*Rekenblad!$D$30</f>
        <v>35</v>
      </c>
      <c r="AX8" s="87"/>
      <c r="AY8" s="86"/>
    </row>
    <row r="9" spans="1:51" ht="11.25">
      <c r="A9" s="84">
        <v>18</v>
      </c>
      <c r="B9" s="85">
        <v>20</v>
      </c>
      <c r="C9" s="86">
        <v>30</v>
      </c>
      <c r="D9" s="87">
        <v>35</v>
      </c>
      <c r="E9" s="86">
        <v>35</v>
      </c>
      <c r="F9" s="87">
        <v>35</v>
      </c>
      <c r="G9" s="86">
        <v>35</v>
      </c>
      <c r="H9" s="87">
        <v>35</v>
      </c>
      <c r="I9" s="86">
        <v>35</v>
      </c>
      <c r="J9" s="87">
        <v>35</v>
      </c>
      <c r="K9" s="86">
        <v>35</v>
      </c>
      <c r="L9" s="87">
        <v>35</v>
      </c>
      <c r="M9" s="86">
        <v>35</v>
      </c>
      <c r="N9" s="87">
        <v>35</v>
      </c>
      <c r="O9" s="86">
        <v>35</v>
      </c>
      <c r="P9" s="87">
        <v>35</v>
      </c>
      <c r="Q9" s="86">
        <v>35</v>
      </c>
      <c r="R9" s="87">
        <v>35</v>
      </c>
      <c r="S9" s="86">
        <v>35</v>
      </c>
      <c r="T9" s="87">
        <v>35</v>
      </c>
      <c r="U9" s="86">
        <v>35</v>
      </c>
      <c r="V9" s="205">
        <v>35</v>
      </c>
      <c r="W9" s="200">
        <v>35</v>
      </c>
      <c r="X9" s="87">
        <v>35</v>
      </c>
      <c r="Y9" s="86">
        <v>35</v>
      </c>
      <c r="Z9" s="87">
        <v>35</v>
      </c>
      <c r="AA9" s="86">
        <v>35</v>
      </c>
      <c r="AB9" s="87">
        <v>35</v>
      </c>
      <c r="AC9" s="86">
        <v>35</v>
      </c>
      <c r="AD9" s="87">
        <v>35</v>
      </c>
      <c r="AE9" s="86">
        <v>35</v>
      </c>
      <c r="AF9" s="87">
        <v>35</v>
      </c>
      <c r="AG9" s="86">
        <v>35</v>
      </c>
      <c r="AH9" s="87">
        <v>35</v>
      </c>
      <c r="AI9" s="86">
        <v>35</v>
      </c>
      <c r="AJ9" s="87">
        <v>35</v>
      </c>
      <c r="AK9" s="86">
        <v>35</v>
      </c>
      <c r="AL9" s="87">
        <v>35</v>
      </c>
      <c r="AM9" s="86">
        <v>35</v>
      </c>
      <c r="AN9" s="87">
        <v>35</v>
      </c>
      <c r="AO9" s="86">
        <v>35</v>
      </c>
      <c r="AP9" s="87">
        <v>35</v>
      </c>
      <c r="AQ9" s="86">
        <v>35</v>
      </c>
      <c r="AR9" s="87">
        <v>35</v>
      </c>
      <c r="AS9" s="86">
        <v>35</v>
      </c>
      <c r="AT9" s="87">
        <v>35</v>
      </c>
      <c r="AU9" s="86">
        <v>35</v>
      </c>
      <c r="AV9" s="87">
        <f>AV8*Rekenblad!$D$30</f>
        <v>35</v>
      </c>
      <c r="AW9" s="86"/>
      <c r="AX9" s="87"/>
      <c r="AY9" s="86"/>
    </row>
    <row r="10" spans="1:51" ht="11.25">
      <c r="A10" s="84">
        <v>19</v>
      </c>
      <c r="B10" s="85">
        <v>20</v>
      </c>
      <c r="C10" s="86">
        <v>30</v>
      </c>
      <c r="D10" s="87">
        <v>35</v>
      </c>
      <c r="E10" s="86">
        <v>35</v>
      </c>
      <c r="F10" s="87">
        <v>35</v>
      </c>
      <c r="G10" s="86">
        <v>35</v>
      </c>
      <c r="H10" s="87">
        <v>35</v>
      </c>
      <c r="I10" s="86">
        <v>35</v>
      </c>
      <c r="J10" s="87">
        <v>35</v>
      </c>
      <c r="K10" s="86">
        <v>35</v>
      </c>
      <c r="L10" s="87">
        <v>35</v>
      </c>
      <c r="M10" s="86">
        <v>35</v>
      </c>
      <c r="N10" s="87">
        <v>35</v>
      </c>
      <c r="O10" s="86">
        <v>35</v>
      </c>
      <c r="P10" s="87">
        <v>35</v>
      </c>
      <c r="Q10" s="86">
        <v>35</v>
      </c>
      <c r="R10" s="87">
        <v>35</v>
      </c>
      <c r="S10" s="86">
        <v>35</v>
      </c>
      <c r="T10" s="87">
        <v>35</v>
      </c>
      <c r="U10" s="86">
        <v>35</v>
      </c>
      <c r="V10" s="205">
        <v>35</v>
      </c>
      <c r="W10" s="200">
        <v>35</v>
      </c>
      <c r="X10" s="87">
        <v>35</v>
      </c>
      <c r="Y10" s="86">
        <v>35</v>
      </c>
      <c r="Z10" s="87">
        <v>35</v>
      </c>
      <c r="AA10" s="86">
        <v>35</v>
      </c>
      <c r="AB10" s="87">
        <v>35</v>
      </c>
      <c r="AC10" s="86">
        <v>35</v>
      </c>
      <c r="AD10" s="87">
        <v>35</v>
      </c>
      <c r="AE10" s="86">
        <v>35</v>
      </c>
      <c r="AF10" s="87">
        <v>35</v>
      </c>
      <c r="AG10" s="86">
        <v>35</v>
      </c>
      <c r="AH10" s="87">
        <v>35</v>
      </c>
      <c r="AI10" s="86">
        <v>35</v>
      </c>
      <c r="AJ10" s="87">
        <v>35</v>
      </c>
      <c r="AK10" s="86">
        <v>35</v>
      </c>
      <c r="AL10" s="87">
        <v>35</v>
      </c>
      <c r="AM10" s="86">
        <v>35</v>
      </c>
      <c r="AN10" s="87">
        <v>35</v>
      </c>
      <c r="AO10" s="86">
        <v>35</v>
      </c>
      <c r="AP10" s="87">
        <v>35</v>
      </c>
      <c r="AQ10" s="86">
        <v>35</v>
      </c>
      <c r="AR10" s="87">
        <v>35</v>
      </c>
      <c r="AS10" s="86">
        <v>35</v>
      </c>
      <c r="AT10" s="87">
        <v>35</v>
      </c>
      <c r="AU10" s="86">
        <f>AU9*Rekenblad!$D$30</f>
        <v>35</v>
      </c>
      <c r="AV10" s="87"/>
      <c r="AW10" s="86"/>
      <c r="AX10" s="87"/>
      <c r="AY10" s="86"/>
    </row>
    <row r="11" spans="1:51" ht="11.25">
      <c r="A11" s="84">
        <v>20</v>
      </c>
      <c r="B11" s="85">
        <v>20</v>
      </c>
      <c r="C11" s="86">
        <v>30</v>
      </c>
      <c r="D11" s="87">
        <v>35</v>
      </c>
      <c r="E11" s="86">
        <v>35</v>
      </c>
      <c r="F11" s="87">
        <v>35</v>
      </c>
      <c r="G11" s="86">
        <v>35</v>
      </c>
      <c r="H11" s="87">
        <v>35</v>
      </c>
      <c r="I11" s="86">
        <v>35</v>
      </c>
      <c r="J11" s="87">
        <v>35</v>
      </c>
      <c r="K11" s="86">
        <v>35</v>
      </c>
      <c r="L11" s="87">
        <v>35</v>
      </c>
      <c r="M11" s="86">
        <v>35</v>
      </c>
      <c r="N11" s="87">
        <v>35</v>
      </c>
      <c r="O11" s="86">
        <v>35</v>
      </c>
      <c r="P11" s="87">
        <v>35</v>
      </c>
      <c r="Q11" s="86">
        <v>35</v>
      </c>
      <c r="R11" s="87">
        <v>35</v>
      </c>
      <c r="S11" s="86">
        <v>35</v>
      </c>
      <c r="T11" s="87">
        <v>35</v>
      </c>
      <c r="U11" s="86">
        <v>35</v>
      </c>
      <c r="V11" s="205">
        <v>35</v>
      </c>
      <c r="W11" s="200">
        <v>35</v>
      </c>
      <c r="X11" s="87">
        <v>35</v>
      </c>
      <c r="Y11" s="86">
        <v>35</v>
      </c>
      <c r="Z11" s="87">
        <v>35</v>
      </c>
      <c r="AA11" s="86">
        <v>35</v>
      </c>
      <c r="AB11" s="87">
        <v>35</v>
      </c>
      <c r="AC11" s="86">
        <v>35</v>
      </c>
      <c r="AD11" s="87">
        <v>35</v>
      </c>
      <c r="AE11" s="86">
        <v>35</v>
      </c>
      <c r="AF11" s="87">
        <v>35</v>
      </c>
      <c r="AG11" s="86">
        <v>35</v>
      </c>
      <c r="AH11" s="87">
        <v>35</v>
      </c>
      <c r="AI11" s="86">
        <v>35</v>
      </c>
      <c r="AJ11" s="87">
        <v>35</v>
      </c>
      <c r="AK11" s="86">
        <v>35</v>
      </c>
      <c r="AL11" s="87">
        <v>35</v>
      </c>
      <c r="AM11" s="86">
        <v>35</v>
      </c>
      <c r="AN11" s="87">
        <v>35</v>
      </c>
      <c r="AO11" s="86">
        <v>35</v>
      </c>
      <c r="AP11" s="87">
        <v>35</v>
      </c>
      <c r="AQ11" s="86">
        <v>35</v>
      </c>
      <c r="AR11" s="87">
        <v>35</v>
      </c>
      <c r="AS11" s="86">
        <v>35</v>
      </c>
      <c r="AT11" s="87">
        <f>AT10*Rekenblad!$D$30</f>
        <v>35</v>
      </c>
      <c r="AU11" s="86"/>
      <c r="AV11" s="87"/>
      <c r="AW11" s="86"/>
      <c r="AX11" s="87"/>
      <c r="AY11" s="86"/>
    </row>
    <row r="12" spans="1:51" ht="11.25">
      <c r="A12" s="84">
        <v>21</v>
      </c>
      <c r="B12" s="85">
        <v>20</v>
      </c>
      <c r="C12" s="86">
        <v>30</v>
      </c>
      <c r="D12" s="87">
        <v>35</v>
      </c>
      <c r="E12" s="86">
        <v>35</v>
      </c>
      <c r="F12" s="87">
        <v>35</v>
      </c>
      <c r="G12" s="86">
        <v>35</v>
      </c>
      <c r="H12" s="87">
        <v>35</v>
      </c>
      <c r="I12" s="86">
        <v>35</v>
      </c>
      <c r="J12" s="87">
        <v>35</v>
      </c>
      <c r="K12" s="86">
        <v>35</v>
      </c>
      <c r="L12" s="87">
        <v>35</v>
      </c>
      <c r="M12" s="86">
        <v>35</v>
      </c>
      <c r="N12" s="87">
        <v>35</v>
      </c>
      <c r="O12" s="86">
        <v>35</v>
      </c>
      <c r="P12" s="87">
        <v>35</v>
      </c>
      <c r="Q12" s="86">
        <v>35</v>
      </c>
      <c r="R12" s="87">
        <v>35</v>
      </c>
      <c r="S12" s="86">
        <v>35</v>
      </c>
      <c r="T12" s="87">
        <v>35</v>
      </c>
      <c r="U12" s="86">
        <v>35</v>
      </c>
      <c r="V12" s="205">
        <v>35</v>
      </c>
      <c r="W12" s="200">
        <v>35</v>
      </c>
      <c r="X12" s="87">
        <v>35</v>
      </c>
      <c r="Y12" s="86">
        <v>35</v>
      </c>
      <c r="Z12" s="87">
        <v>35</v>
      </c>
      <c r="AA12" s="86">
        <v>35</v>
      </c>
      <c r="AB12" s="87">
        <v>35</v>
      </c>
      <c r="AC12" s="86">
        <v>35</v>
      </c>
      <c r="AD12" s="87">
        <v>35</v>
      </c>
      <c r="AE12" s="86">
        <v>35</v>
      </c>
      <c r="AF12" s="87">
        <v>35</v>
      </c>
      <c r="AG12" s="86">
        <v>35</v>
      </c>
      <c r="AH12" s="87">
        <v>35</v>
      </c>
      <c r="AI12" s="86">
        <v>35</v>
      </c>
      <c r="AJ12" s="87">
        <v>35</v>
      </c>
      <c r="AK12" s="86">
        <v>35</v>
      </c>
      <c r="AL12" s="87">
        <v>35</v>
      </c>
      <c r="AM12" s="86">
        <v>35</v>
      </c>
      <c r="AN12" s="87">
        <v>35</v>
      </c>
      <c r="AO12" s="86">
        <v>35</v>
      </c>
      <c r="AP12" s="87">
        <v>35</v>
      </c>
      <c r="AQ12" s="86">
        <v>35</v>
      </c>
      <c r="AR12" s="87">
        <v>35</v>
      </c>
      <c r="AS12" s="86">
        <f>AS11*Rekenblad!$D$30</f>
        <v>35</v>
      </c>
      <c r="AT12" s="87"/>
      <c r="AU12" s="86"/>
      <c r="AV12" s="87"/>
      <c r="AW12" s="86"/>
      <c r="AX12" s="87"/>
      <c r="AY12" s="86"/>
    </row>
    <row r="13" spans="1:51" ht="11.25">
      <c r="A13" s="84">
        <v>22</v>
      </c>
      <c r="B13" s="85">
        <v>20</v>
      </c>
      <c r="C13" s="86">
        <v>30</v>
      </c>
      <c r="D13" s="87">
        <v>35</v>
      </c>
      <c r="E13" s="86">
        <v>35</v>
      </c>
      <c r="F13" s="87">
        <v>35</v>
      </c>
      <c r="G13" s="86">
        <v>35</v>
      </c>
      <c r="H13" s="87">
        <v>35</v>
      </c>
      <c r="I13" s="86">
        <v>35</v>
      </c>
      <c r="J13" s="87">
        <v>35</v>
      </c>
      <c r="K13" s="86">
        <v>35</v>
      </c>
      <c r="L13" s="87">
        <v>35</v>
      </c>
      <c r="M13" s="86">
        <v>35</v>
      </c>
      <c r="N13" s="87">
        <v>35</v>
      </c>
      <c r="O13" s="86">
        <v>35</v>
      </c>
      <c r="P13" s="87">
        <v>35</v>
      </c>
      <c r="Q13" s="86">
        <v>35</v>
      </c>
      <c r="R13" s="87">
        <v>35</v>
      </c>
      <c r="S13" s="86">
        <v>35</v>
      </c>
      <c r="T13" s="87">
        <v>35</v>
      </c>
      <c r="U13" s="86">
        <v>35</v>
      </c>
      <c r="V13" s="205">
        <v>35</v>
      </c>
      <c r="W13" s="200">
        <v>35</v>
      </c>
      <c r="X13" s="87">
        <v>35</v>
      </c>
      <c r="Y13" s="86">
        <v>35</v>
      </c>
      <c r="Z13" s="87">
        <v>35</v>
      </c>
      <c r="AA13" s="86">
        <v>35</v>
      </c>
      <c r="AB13" s="87">
        <v>35</v>
      </c>
      <c r="AC13" s="86">
        <v>35</v>
      </c>
      <c r="AD13" s="87">
        <v>35</v>
      </c>
      <c r="AE13" s="86">
        <v>35</v>
      </c>
      <c r="AF13" s="87">
        <v>35</v>
      </c>
      <c r="AG13" s="86">
        <v>35</v>
      </c>
      <c r="AH13" s="87">
        <v>35</v>
      </c>
      <c r="AI13" s="86">
        <v>35</v>
      </c>
      <c r="AJ13" s="87">
        <v>35</v>
      </c>
      <c r="AK13" s="86">
        <v>35</v>
      </c>
      <c r="AL13" s="87">
        <v>35</v>
      </c>
      <c r="AM13" s="86">
        <v>35</v>
      </c>
      <c r="AN13" s="87">
        <v>35</v>
      </c>
      <c r="AO13" s="86">
        <v>35</v>
      </c>
      <c r="AP13" s="87">
        <v>35</v>
      </c>
      <c r="AQ13" s="86">
        <v>35</v>
      </c>
      <c r="AR13" s="87">
        <f>AR12*Rekenblad!$D$30</f>
        <v>35</v>
      </c>
      <c r="AS13" s="86"/>
      <c r="AT13" s="87"/>
      <c r="AU13" s="86"/>
      <c r="AV13" s="87"/>
      <c r="AW13" s="86"/>
      <c r="AX13" s="87"/>
      <c r="AY13" s="86"/>
    </row>
    <row r="14" spans="1:51" ht="11.25">
      <c r="A14" s="84">
        <v>23</v>
      </c>
      <c r="B14" s="85">
        <v>20</v>
      </c>
      <c r="C14" s="86">
        <v>30</v>
      </c>
      <c r="D14" s="87">
        <v>35</v>
      </c>
      <c r="E14" s="86">
        <v>35</v>
      </c>
      <c r="F14" s="87">
        <v>35</v>
      </c>
      <c r="G14" s="86">
        <v>35</v>
      </c>
      <c r="H14" s="87">
        <v>35</v>
      </c>
      <c r="I14" s="86">
        <v>35</v>
      </c>
      <c r="J14" s="87">
        <v>35</v>
      </c>
      <c r="K14" s="86">
        <v>35</v>
      </c>
      <c r="L14" s="87">
        <v>35</v>
      </c>
      <c r="M14" s="86">
        <v>35</v>
      </c>
      <c r="N14" s="87">
        <v>35</v>
      </c>
      <c r="O14" s="86">
        <v>35</v>
      </c>
      <c r="P14" s="87">
        <v>35</v>
      </c>
      <c r="Q14" s="86">
        <v>35</v>
      </c>
      <c r="R14" s="87">
        <v>35</v>
      </c>
      <c r="S14" s="86">
        <v>35</v>
      </c>
      <c r="T14" s="87">
        <v>35</v>
      </c>
      <c r="U14" s="86">
        <v>35</v>
      </c>
      <c r="V14" s="205">
        <v>35</v>
      </c>
      <c r="W14" s="200">
        <v>35</v>
      </c>
      <c r="X14" s="87">
        <v>35</v>
      </c>
      <c r="Y14" s="86">
        <v>35</v>
      </c>
      <c r="Z14" s="87">
        <v>35</v>
      </c>
      <c r="AA14" s="86">
        <v>35</v>
      </c>
      <c r="AB14" s="87">
        <v>35</v>
      </c>
      <c r="AC14" s="86">
        <v>35</v>
      </c>
      <c r="AD14" s="87">
        <v>35</v>
      </c>
      <c r="AE14" s="86">
        <v>35</v>
      </c>
      <c r="AF14" s="87">
        <v>35</v>
      </c>
      <c r="AG14" s="86">
        <v>35</v>
      </c>
      <c r="AH14" s="87">
        <v>35</v>
      </c>
      <c r="AI14" s="86">
        <v>35</v>
      </c>
      <c r="AJ14" s="87">
        <v>35</v>
      </c>
      <c r="AK14" s="86">
        <v>35</v>
      </c>
      <c r="AL14" s="87">
        <v>35</v>
      </c>
      <c r="AM14" s="86">
        <v>35</v>
      </c>
      <c r="AN14" s="87">
        <v>35</v>
      </c>
      <c r="AO14" s="86">
        <v>35</v>
      </c>
      <c r="AP14" s="87">
        <v>35</v>
      </c>
      <c r="AQ14" s="86">
        <f>AQ13*Rekenblad!$D$30</f>
        <v>35</v>
      </c>
      <c r="AR14" s="87"/>
      <c r="AS14" s="86"/>
      <c r="AT14" s="87"/>
      <c r="AU14" s="86"/>
      <c r="AV14" s="87"/>
      <c r="AW14" s="86"/>
      <c r="AX14" s="87"/>
      <c r="AY14" s="86"/>
    </row>
    <row r="15" spans="1:51" ht="11.25">
      <c r="A15" s="84">
        <v>24</v>
      </c>
      <c r="B15" s="85">
        <v>20</v>
      </c>
      <c r="C15" s="86">
        <v>30</v>
      </c>
      <c r="D15" s="87">
        <v>35</v>
      </c>
      <c r="E15" s="86">
        <v>35</v>
      </c>
      <c r="F15" s="87">
        <v>35</v>
      </c>
      <c r="G15" s="86">
        <v>35</v>
      </c>
      <c r="H15" s="87">
        <v>35</v>
      </c>
      <c r="I15" s="86">
        <v>35</v>
      </c>
      <c r="J15" s="87">
        <v>35</v>
      </c>
      <c r="K15" s="86">
        <v>35</v>
      </c>
      <c r="L15" s="87">
        <v>35</v>
      </c>
      <c r="M15" s="86">
        <v>35</v>
      </c>
      <c r="N15" s="87">
        <v>35</v>
      </c>
      <c r="O15" s="86">
        <v>35</v>
      </c>
      <c r="P15" s="87">
        <v>35</v>
      </c>
      <c r="Q15" s="86">
        <v>35</v>
      </c>
      <c r="R15" s="87">
        <v>35</v>
      </c>
      <c r="S15" s="86">
        <v>35</v>
      </c>
      <c r="T15" s="87">
        <v>35</v>
      </c>
      <c r="U15" s="86">
        <v>35</v>
      </c>
      <c r="V15" s="205">
        <v>35</v>
      </c>
      <c r="W15" s="200">
        <v>35</v>
      </c>
      <c r="X15" s="87">
        <v>35</v>
      </c>
      <c r="Y15" s="86">
        <v>35</v>
      </c>
      <c r="Z15" s="87">
        <v>35</v>
      </c>
      <c r="AA15" s="86">
        <v>35</v>
      </c>
      <c r="AB15" s="87">
        <v>35</v>
      </c>
      <c r="AC15" s="86">
        <v>35</v>
      </c>
      <c r="AD15" s="87">
        <v>35</v>
      </c>
      <c r="AE15" s="86">
        <v>35</v>
      </c>
      <c r="AF15" s="87">
        <v>35</v>
      </c>
      <c r="AG15" s="86">
        <v>35</v>
      </c>
      <c r="AH15" s="87">
        <v>35</v>
      </c>
      <c r="AI15" s="86">
        <v>35</v>
      </c>
      <c r="AJ15" s="87">
        <v>35</v>
      </c>
      <c r="AK15" s="86">
        <v>35</v>
      </c>
      <c r="AL15" s="87">
        <v>35</v>
      </c>
      <c r="AM15" s="86">
        <v>35</v>
      </c>
      <c r="AN15" s="87">
        <v>35</v>
      </c>
      <c r="AO15" s="86">
        <v>35</v>
      </c>
      <c r="AP15" s="87">
        <f>AP14*Rekenblad!$D$30</f>
        <v>35</v>
      </c>
      <c r="AQ15" s="86"/>
      <c r="AR15" s="87"/>
      <c r="AS15" s="86"/>
      <c r="AT15" s="87"/>
      <c r="AU15" s="86"/>
      <c r="AV15" s="87"/>
      <c r="AW15" s="86"/>
      <c r="AX15" s="87"/>
      <c r="AY15" s="86"/>
    </row>
    <row r="16" spans="1:51" ht="11.25">
      <c r="A16" s="84">
        <v>25</v>
      </c>
      <c r="B16" s="85">
        <v>20</v>
      </c>
      <c r="C16" s="86">
        <v>30</v>
      </c>
      <c r="D16" s="87">
        <v>35</v>
      </c>
      <c r="E16" s="86">
        <v>35</v>
      </c>
      <c r="F16" s="87">
        <v>35</v>
      </c>
      <c r="G16" s="86">
        <v>35</v>
      </c>
      <c r="H16" s="87">
        <v>35</v>
      </c>
      <c r="I16" s="86">
        <v>35</v>
      </c>
      <c r="J16" s="87">
        <v>35</v>
      </c>
      <c r="K16" s="86">
        <v>35</v>
      </c>
      <c r="L16" s="87">
        <v>35</v>
      </c>
      <c r="M16" s="86">
        <v>35</v>
      </c>
      <c r="N16" s="87">
        <v>35</v>
      </c>
      <c r="O16" s="86">
        <v>35</v>
      </c>
      <c r="P16" s="87">
        <v>35</v>
      </c>
      <c r="Q16" s="86">
        <v>35</v>
      </c>
      <c r="R16" s="87">
        <v>35</v>
      </c>
      <c r="S16" s="86">
        <v>35</v>
      </c>
      <c r="T16" s="87">
        <v>35</v>
      </c>
      <c r="U16" s="86">
        <v>35</v>
      </c>
      <c r="V16" s="205">
        <v>35</v>
      </c>
      <c r="W16" s="200">
        <v>35</v>
      </c>
      <c r="X16" s="87">
        <v>35</v>
      </c>
      <c r="Y16" s="86">
        <v>35</v>
      </c>
      <c r="Z16" s="87">
        <v>35</v>
      </c>
      <c r="AA16" s="86">
        <v>35</v>
      </c>
      <c r="AB16" s="87">
        <v>35</v>
      </c>
      <c r="AC16" s="86">
        <v>35</v>
      </c>
      <c r="AD16" s="87">
        <v>35</v>
      </c>
      <c r="AE16" s="86">
        <v>35</v>
      </c>
      <c r="AF16" s="87">
        <v>35</v>
      </c>
      <c r="AG16" s="86">
        <v>35</v>
      </c>
      <c r="AH16" s="87">
        <v>35</v>
      </c>
      <c r="AI16" s="86">
        <v>35</v>
      </c>
      <c r="AJ16" s="87">
        <v>35</v>
      </c>
      <c r="AK16" s="86">
        <v>35</v>
      </c>
      <c r="AL16" s="87">
        <v>35</v>
      </c>
      <c r="AM16" s="86">
        <v>35</v>
      </c>
      <c r="AN16" s="87">
        <v>35</v>
      </c>
      <c r="AO16" s="86">
        <f>AO15*Rekenblad!$E$30</f>
        <v>0</v>
      </c>
      <c r="AP16" s="87"/>
      <c r="AQ16" s="86"/>
      <c r="AR16" s="87"/>
      <c r="AS16" s="86"/>
      <c r="AT16" s="87"/>
      <c r="AU16" s="86"/>
      <c r="AV16" s="87"/>
      <c r="AW16" s="86"/>
      <c r="AX16" s="87"/>
      <c r="AY16" s="86"/>
    </row>
    <row r="17" spans="1:51" ht="11.25">
      <c r="A17" s="84">
        <v>26</v>
      </c>
      <c r="B17" s="85">
        <v>20</v>
      </c>
      <c r="C17" s="86">
        <v>30</v>
      </c>
      <c r="D17" s="87">
        <v>35</v>
      </c>
      <c r="E17" s="86">
        <v>35</v>
      </c>
      <c r="F17" s="87">
        <v>35</v>
      </c>
      <c r="G17" s="86">
        <v>35</v>
      </c>
      <c r="H17" s="87">
        <v>35</v>
      </c>
      <c r="I17" s="86">
        <v>35</v>
      </c>
      <c r="J17" s="87">
        <v>35</v>
      </c>
      <c r="K17" s="86">
        <v>35</v>
      </c>
      <c r="L17" s="87">
        <v>35</v>
      </c>
      <c r="M17" s="86">
        <v>35</v>
      </c>
      <c r="N17" s="87">
        <v>35</v>
      </c>
      <c r="O17" s="86">
        <v>35</v>
      </c>
      <c r="P17" s="87">
        <v>35</v>
      </c>
      <c r="Q17" s="86">
        <v>35</v>
      </c>
      <c r="R17" s="87">
        <v>35</v>
      </c>
      <c r="S17" s="86">
        <v>35</v>
      </c>
      <c r="T17" s="87">
        <v>35</v>
      </c>
      <c r="U17" s="86">
        <v>35</v>
      </c>
      <c r="V17" s="205">
        <v>35</v>
      </c>
      <c r="W17" s="200">
        <v>35</v>
      </c>
      <c r="X17" s="87">
        <v>35</v>
      </c>
      <c r="Y17" s="86">
        <v>35</v>
      </c>
      <c r="Z17" s="87">
        <v>35</v>
      </c>
      <c r="AA17" s="86">
        <v>35</v>
      </c>
      <c r="AB17" s="87">
        <v>35</v>
      </c>
      <c r="AC17" s="86">
        <v>35</v>
      </c>
      <c r="AD17" s="87">
        <v>35</v>
      </c>
      <c r="AE17" s="86">
        <v>35</v>
      </c>
      <c r="AF17" s="87">
        <v>35</v>
      </c>
      <c r="AG17" s="86">
        <v>35</v>
      </c>
      <c r="AH17" s="87">
        <v>35</v>
      </c>
      <c r="AI17" s="86">
        <v>35</v>
      </c>
      <c r="AJ17" s="87">
        <v>35</v>
      </c>
      <c r="AK17" s="86">
        <v>35</v>
      </c>
      <c r="AL17" s="87">
        <v>35</v>
      </c>
      <c r="AM17" s="86">
        <v>35</v>
      </c>
      <c r="AN17" s="87">
        <f>AN16*Rekenblad!$E$30</f>
        <v>0</v>
      </c>
      <c r="AO17" s="86"/>
      <c r="AP17" s="87"/>
      <c r="AQ17" s="86"/>
      <c r="AR17" s="87"/>
      <c r="AS17" s="86"/>
      <c r="AT17" s="87"/>
      <c r="AU17" s="86"/>
      <c r="AV17" s="87"/>
      <c r="AW17" s="86"/>
      <c r="AX17" s="87"/>
      <c r="AY17" s="86"/>
    </row>
    <row r="18" spans="1:51" ht="11.25">
      <c r="A18" s="84">
        <v>27</v>
      </c>
      <c r="B18" s="85">
        <v>20</v>
      </c>
      <c r="C18" s="86">
        <v>30</v>
      </c>
      <c r="D18" s="87">
        <v>35</v>
      </c>
      <c r="E18" s="86">
        <v>35</v>
      </c>
      <c r="F18" s="87">
        <v>35</v>
      </c>
      <c r="G18" s="86">
        <v>35</v>
      </c>
      <c r="H18" s="87">
        <v>35</v>
      </c>
      <c r="I18" s="86">
        <v>35</v>
      </c>
      <c r="J18" s="87">
        <v>35</v>
      </c>
      <c r="K18" s="86">
        <v>35</v>
      </c>
      <c r="L18" s="87">
        <v>35</v>
      </c>
      <c r="M18" s="86">
        <v>35</v>
      </c>
      <c r="N18" s="87">
        <v>35</v>
      </c>
      <c r="O18" s="86">
        <v>35</v>
      </c>
      <c r="P18" s="87">
        <v>35</v>
      </c>
      <c r="Q18" s="86">
        <v>35</v>
      </c>
      <c r="R18" s="87">
        <v>35</v>
      </c>
      <c r="S18" s="86">
        <v>35</v>
      </c>
      <c r="T18" s="87">
        <v>35</v>
      </c>
      <c r="U18" s="86">
        <v>35</v>
      </c>
      <c r="V18" s="205">
        <v>35</v>
      </c>
      <c r="W18" s="200">
        <v>35</v>
      </c>
      <c r="X18" s="87">
        <v>35</v>
      </c>
      <c r="Y18" s="86">
        <v>35</v>
      </c>
      <c r="Z18" s="87">
        <v>35</v>
      </c>
      <c r="AA18" s="86">
        <v>35</v>
      </c>
      <c r="AB18" s="87">
        <v>35</v>
      </c>
      <c r="AC18" s="86">
        <v>35</v>
      </c>
      <c r="AD18" s="87">
        <v>35</v>
      </c>
      <c r="AE18" s="86">
        <v>35</v>
      </c>
      <c r="AF18" s="87">
        <v>35</v>
      </c>
      <c r="AG18" s="86">
        <v>35</v>
      </c>
      <c r="AH18" s="87">
        <v>35</v>
      </c>
      <c r="AI18" s="86">
        <v>35</v>
      </c>
      <c r="AJ18" s="87">
        <v>35</v>
      </c>
      <c r="AK18" s="86">
        <v>35</v>
      </c>
      <c r="AL18" s="87">
        <v>35</v>
      </c>
      <c r="AM18" s="86">
        <f>AM17*Rekenblad!$E$30</f>
        <v>0</v>
      </c>
      <c r="AN18" s="87"/>
      <c r="AO18" s="86"/>
      <c r="AP18" s="87"/>
      <c r="AQ18" s="86"/>
      <c r="AR18" s="87"/>
      <c r="AS18" s="86"/>
      <c r="AT18" s="87"/>
      <c r="AU18" s="86"/>
      <c r="AV18" s="87"/>
      <c r="AW18" s="86"/>
      <c r="AX18" s="87"/>
      <c r="AY18" s="86"/>
    </row>
    <row r="19" spans="1:51" ht="11.25">
      <c r="A19" s="84">
        <v>28</v>
      </c>
      <c r="B19" s="85">
        <v>20</v>
      </c>
      <c r="C19" s="86">
        <v>30</v>
      </c>
      <c r="D19" s="87">
        <v>35</v>
      </c>
      <c r="E19" s="86">
        <v>35</v>
      </c>
      <c r="F19" s="87">
        <v>35</v>
      </c>
      <c r="G19" s="86">
        <v>35</v>
      </c>
      <c r="H19" s="87">
        <v>35</v>
      </c>
      <c r="I19" s="86">
        <v>35</v>
      </c>
      <c r="J19" s="87">
        <v>35</v>
      </c>
      <c r="K19" s="86">
        <v>35</v>
      </c>
      <c r="L19" s="87">
        <v>35</v>
      </c>
      <c r="M19" s="86">
        <v>35</v>
      </c>
      <c r="N19" s="87">
        <v>35</v>
      </c>
      <c r="O19" s="86">
        <v>35</v>
      </c>
      <c r="P19" s="87">
        <v>35</v>
      </c>
      <c r="Q19" s="86">
        <v>35</v>
      </c>
      <c r="R19" s="87">
        <v>35</v>
      </c>
      <c r="S19" s="86">
        <v>35</v>
      </c>
      <c r="T19" s="87">
        <v>35</v>
      </c>
      <c r="U19" s="86">
        <v>35</v>
      </c>
      <c r="V19" s="205">
        <v>35</v>
      </c>
      <c r="W19" s="200">
        <v>35</v>
      </c>
      <c r="X19" s="87">
        <v>35</v>
      </c>
      <c r="Y19" s="86">
        <v>35</v>
      </c>
      <c r="Z19" s="87">
        <v>35</v>
      </c>
      <c r="AA19" s="86">
        <v>35</v>
      </c>
      <c r="AB19" s="87">
        <v>35</v>
      </c>
      <c r="AC19" s="86">
        <v>35</v>
      </c>
      <c r="AD19" s="87">
        <v>35</v>
      </c>
      <c r="AE19" s="86">
        <v>35</v>
      </c>
      <c r="AF19" s="87">
        <v>35</v>
      </c>
      <c r="AG19" s="86">
        <v>35</v>
      </c>
      <c r="AH19" s="87">
        <v>35</v>
      </c>
      <c r="AI19" s="86">
        <v>35</v>
      </c>
      <c r="AJ19" s="87">
        <v>35</v>
      </c>
      <c r="AK19" s="86">
        <v>35</v>
      </c>
      <c r="AL19" s="87">
        <f>AL18*Rekenblad!$E$30</f>
        <v>0</v>
      </c>
      <c r="AM19" s="86"/>
      <c r="AN19" s="87"/>
      <c r="AO19" s="86"/>
      <c r="AP19" s="87"/>
      <c r="AQ19" s="86"/>
      <c r="AR19" s="87"/>
      <c r="AS19" s="86"/>
      <c r="AT19" s="87"/>
      <c r="AU19" s="86"/>
      <c r="AV19" s="87"/>
      <c r="AW19" s="86"/>
      <c r="AX19" s="87"/>
      <c r="AY19" s="86"/>
    </row>
    <row r="20" spans="1:51" ht="11.25">
      <c r="A20" s="84">
        <v>29</v>
      </c>
      <c r="B20" s="85">
        <v>20</v>
      </c>
      <c r="C20" s="86">
        <v>30</v>
      </c>
      <c r="D20" s="87">
        <v>35</v>
      </c>
      <c r="E20" s="86">
        <v>35</v>
      </c>
      <c r="F20" s="87">
        <v>35</v>
      </c>
      <c r="G20" s="86">
        <v>35</v>
      </c>
      <c r="H20" s="87">
        <v>35</v>
      </c>
      <c r="I20" s="86">
        <v>35</v>
      </c>
      <c r="J20" s="87">
        <v>35</v>
      </c>
      <c r="K20" s="86">
        <v>35</v>
      </c>
      <c r="L20" s="87">
        <v>35</v>
      </c>
      <c r="M20" s="86">
        <v>35</v>
      </c>
      <c r="N20" s="87">
        <v>35</v>
      </c>
      <c r="O20" s="86">
        <v>35</v>
      </c>
      <c r="P20" s="87">
        <v>35</v>
      </c>
      <c r="Q20" s="86">
        <v>35</v>
      </c>
      <c r="R20" s="87">
        <v>35</v>
      </c>
      <c r="S20" s="86">
        <v>35</v>
      </c>
      <c r="T20" s="87">
        <v>35</v>
      </c>
      <c r="U20" s="86">
        <v>35</v>
      </c>
      <c r="V20" s="205">
        <v>35</v>
      </c>
      <c r="W20" s="200">
        <v>35</v>
      </c>
      <c r="X20" s="87">
        <v>35</v>
      </c>
      <c r="Y20" s="86">
        <v>35</v>
      </c>
      <c r="Z20" s="87">
        <v>35</v>
      </c>
      <c r="AA20" s="86">
        <v>35</v>
      </c>
      <c r="AB20" s="87">
        <v>35</v>
      </c>
      <c r="AC20" s="86">
        <v>35</v>
      </c>
      <c r="AD20" s="87">
        <v>35</v>
      </c>
      <c r="AE20" s="86">
        <v>35</v>
      </c>
      <c r="AF20" s="87">
        <v>35</v>
      </c>
      <c r="AG20" s="86">
        <v>35</v>
      </c>
      <c r="AH20" s="87">
        <v>35</v>
      </c>
      <c r="AI20" s="86">
        <v>35</v>
      </c>
      <c r="AJ20" s="87">
        <v>35</v>
      </c>
      <c r="AK20" s="86">
        <f>AK19*Rekenblad!$E$30</f>
        <v>0</v>
      </c>
      <c r="AL20" s="87"/>
      <c r="AM20" s="86"/>
      <c r="AN20" s="87"/>
      <c r="AO20" s="86"/>
      <c r="AP20" s="87"/>
      <c r="AQ20" s="86"/>
      <c r="AR20" s="87"/>
      <c r="AS20" s="86"/>
      <c r="AT20" s="87"/>
      <c r="AU20" s="86"/>
      <c r="AV20" s="87"/>
      <c r="AW20" s="86"/>
      <c r="AX20" s="87"/>
      <c r="AY20" s="86"/>
    </row>
    <row r="21" spans="1:51" ht="11.25">
      <c r="A21" s="84">
        <v>30</v>
      </c>
      <c r="B21" s="85">
        <v>20</v>
      </c>
      <c r="C21" s="86">
        <v>30</v>
      </c>
      <c r="D21" s="87">
        <v>35</v>
      </c>
      <c r="E21" s="86">
        <v>35</v>
      </c>
      <c r="F21" s="87">
        <v>35</v>
      </c>
      <c r="G21" s="86">
        <v>35</v>
      </c>
      <c r="H21" s="87">
        <v>35</v>
      </c>
      <c r="I21" s="86">
        <v>35</v>
      </c>
      <c r="J21" s="87">
        <v>35</v>
      </c>
      <c r="K21" s="86">
        <v>35</v>
      </c>
      <c r="L21" s="87">
        <v>35</v>
      </c>
      <c r="M21" s="86">
        <v>35</v>
      </c>
      <c r="N21" s="87">
        <v>35</v>
      </c>
      <c r="O21" s="86">
        <v>35</v>
      </c>
      <c r="P21" s="87">
        <v>35</v>
      </c>
      <c r="Q21" s="86">
        <v>35</v>
      </c>
      <c r="R21" s="87">
        <v>35</v>
      </c>
      <c r="S21" s="86">
        <v>35</v>
      </c>
      <c r="T21" s="87">
        <v>35</v>
      </c>
      <c r="U21" s="86">
        <v>35</v>
      </c>
      <c r="V21" s="205">
        <v>35</v>
      </c>
      <c r="W21" s="200">
        <v>35</v>
      </c>
      <c r="X21" s="87">
        <v>35</v>
      </c>
      <c r="Y21" s="86">
        <v>35</v>
      </c>
      <c r="Z21" s="87">
        <v>35</v>
      </c>
      <c r="AA21" s="86">
        <v>35</v>
      </c>
      <c r="AB21" s="87">
        <v>35</v>
      </c>
      <c r="AC21" s="86">
        <v>35</v>
      </c>
      <c r="AD21" s="87">
        <v>35</v>
      </c>
      <c r="AE21" s="86">
        <v>35</v>
      </c>
      <c r="AF21" s="87">
        <v>35</v>
      </c>
      <c r="AG21" s="86">
        <v>35</v>
      </c>
      <c r="AH21" s="87">
        <v>35</v>
      </c>
      <c r="AI21" s="86">
        <v>35</v>
      </c>
      <c r="AJ21" s="87">
        <f>AJ20*Rekenblad!$E$30</f>
        <v>0</v>
      </c>
      <c r="AK21" s="86"/>
      <c r="AL21" s="87"/>
      <c r="AM21" s="86"/>
      <c r="AN21" s="87"/>
      <c r="AO21" s="86"/>
      <c r="AP21" s="87"/>
      <c r="AQ21" s="86"/>
      <c r="AR21" s="87"/>
      <c r="AS21" s="86"/>
      <c r="AT21" s="87"/>
      <c r="AU21" s="86"/>
      <c r="AV21" s="87"/>
      <c r="AW21" s="86"/>
      <c r="AX21" s="87"/>
      <c r="AY21" s="86"/>
    </row>
    <row r="22" spans="1:51" ht="11.25">
      <c r="A22" s="84">
        <v>31</v>
      </c>
      <c r="B22" s="85">
        <v>20</v>
      </c>
      <c r="C22" s="86">
        <v>30</v>
      </c>
      <c r="D22" s="87">
        <v>35</v>
      </c>
      <c r="E22" s="86">
        <v>35</v>
      </c>
      <c r="F22" s="87">
        <v>35</v>
      </c>
      <c r="G22" s="86">
        <v>35</v>
      </c>
      <c r="H22" s="87">
        <v>35</v>
      </c>
      <c r="I22" s="86">
        <v>35</v>
      </c>
      <c r="J22" s="87">
        <v>35</v>
      </c>
      <c r="K22" s="86">
        <v>35</v>
      </c>
      <c r="L22" s="87">
        <v>35</v>
      </c>
      <c r="M22" s="86">
        <v>35</v>
      </c>
      <c r="N22" s="87">
        <v>35</v>
      </c>
      <c r="O22" s="86">
        <v>35</v>
      </c>
      <c r="P22" s="87">
        <v>35</v>
      </c>
      <c r="Q22" s="86">
        <v>35</v>
      </c>
      <c r="R22" s="87">
        <v>35</v>
      </c>
      <c r="S22" s="86">
        <v>35</v>
      </c>
      <c r="T22" s="87">
        <v>35</v>
      </c>
      <c r="U22" s="86">
        <v>35</v>
      </c>
      <c r="V22" s="205">
        <v>35</v>
      </c>
      <c r="W22" s="200">
        <v>35</v>
      </c>
      <c r="X22" s="87">
        <v>35</v>
      </c>
      <c r="Y22" s="86">
        <v>35</v>
      </c>
      <c r="Z22" s="87">
        <v>35</v>
      </c>
      <c r="AA22" s="86">
        <v>35</v>
      </c>
      <c r="AB22" s="87">
        <v>35</v>
      </c>
      <c r="AC22" s="86">
        <v>35</v>
      </c>
      <c r="AD22" s="87">
        <v>35</v>
      </c>
      <c r="AE22" s="86">
        <v>35</v>
      </c>
      <c r="AF22" s="87">
        <v>35</v>
      </c>
      <c r="AG22" s="86">
        <v>35</v>
      </c>
      <c r="AH22" s="87">
        <v>35</v>
      </c>
      <c r="AI22" s="86">
        <f>AI21*Rekenblad!$E$30</f>
        <v>0</v>
      </c>
      <c r="AJ22" s="87"/>
      <c r="AK22" s="86"/>
      <c r="AL22" s="87"/>
      <c r="AM22" s="86"/>
      <c r="AN22" s="87"/>
      <c r="AO22" s="86"/>
      <c r="AP22" s="87"/>
      <c r="AQ22" s="86"/>
      <c r="AR22" s="87"/>
      <c r="AS22" s="86"/>
      <c r="AT22" s="87"/>
      <c r="AU22" s="86"/>
      <c r="AV22" s="87"/>
      <c r="AW22" s="86"/>
      <c r="AX22" s="87"/>
      <c r="AY22" s="86"/>
    </row>
    <row r="23" spans="1:51" ht="11.25">
      <c r="A23" s="84">
        <v>32</v>
      </c>
      <c r="B23" s="85">
        <v>20</v>
      </c>
      <c r="C23" s="86">
        <v>30</v>
      </c>
      <c r="D23" s="87">
        <v>35</v>
      </c>
      <c r="E23" s="86">
        <v>35</v>
      </c>
      <c r="F23" s="87">
        <v>35</v>
      </c>
      <c r="G23" s="86">
        <v>35</v>
      </c>
      <c r="H23" s="87">
        <v>35</v>
      </c>
      <c r="I23" s="86">
        <v>35</v>
      </c>
      <c r="J23" s="87">
        <v>35</v>
      </c>
      <c r="K23" s="86">
        <v>35</v>
      </c>
      <c r="L23" s="87">
        <v>35</v>
      </c>
      <c r="M23" s="86">
        <v>35</v>
      </c>
      <c r="N23" s="87">
        <v>35</v>
      </c>
      <c r="O23" s="86">
        <v>35</v>
      </c>
      <c r="P23" s="87">
        <v>35</v>
      </c>
      <c r="Q23" s="86">
        <v>35</v>
      </c>
      <c r="R23" s="87">
        <v>35</v>
      </c>
      <c r="S23" s="86">
        <v>35</v>
      </c>
      <c r="T23" s="87">
        <v>35</v>
      </c>
      <c r="U23" s="86">
        <v>35</v>
      </c>
      <c r="V23" s="205">
        <v>35</v>
      </c>
      <c r="W23" s="200">
        <v>35</v>
      </c>
      <c r="X23" s="87">
        <v>35</v>
      </c>
      <c r="Y23" s="86">
        <v>35</v>
      </c>
      <c r="Z23" s="87">
        <v>35</v>
      </c>
      <c r="AA23" s="86">
        <v>35</v>
      </c>
      <c r="AB23" s="87">
        <v>35</v>
      </c>
      <c r="AC23" s="86">
        <v>35</v>
      </c>
      <c r="AD23" s="87">
        <v>35</v>
      </c>
      <c r="AE23" s="86">
        <v>35</v>
      </c>
      <c r="AF23" s="87">
        <v>35</v>
      </c>
      <c r="AG23" s="86">
        <v>35</v>
      </c>
      <c r="AH23" s="87">
        <f>AH22*Rekenblad!$E$30</f>
        <v>0</v>
      </c>
      <c r="AI23" s="86"/>
      <c r="AJ23" s="87"/>
      <c r="AK23" s="86"/>
      <c r="AL23" s="87"/>
      <c r="AM23" s="86"/>
      <c r="AN23" s="87"/>
      <c r="AO23" s="86"/>
      <c r="AP23" s="87"/>
      <c r="AQ23" s="86"/>
      <c r="AR23" s="87"/>
      <c r="AS23" s="86"/>
      <c r="AT23" s="87"/>
      <c r="AU23" s="86"/>
      <c r="AV23" s="87"/>
      <c r="AW23" s="86"/>
      <c r="AX23" s="87"/>
      <c r="AY23" s="86"/>
    </row>
    <row r="24" spans="1:51" ht="11.25">
      <c r="A24" s="84">
        <v>33</v>
      </c>
      <c r="B24" s="85">
        <v>20</v>
      </c>
      <c r="C24" s="86">
        <v>30</v>
      </c>
      <c r="D24" s="87">
        <v>35</v>
      </c>
      <c r="E24" s="86">
        <v>35</v>
      </c>
      <c r="F24" s="87">
        <v>35</v>
      </c>
      <c r="G24" s="86">
        <v>35</v>
      </c>
      <c r="H24" s="87">
        <v>35</v>
      </c>
      <c r="I24" s="86">
        <v>35</v>
      </c>
      <c r="J24" s="87">
        <v>35</v>
      </c>
      <c r="K24" s="86">
        <v>35</v>
      </c>
      <c r="L24" s="87">
        <v>35</v>
      </c>
      <c r="M24" s="86">
        <v>35</v>
      </c>
      <c r="N24" s="87">
        <v>35</v>
      </c>
      <c r="O24" s="86">
        <v>35</v>
      </c>
      <c r="P24" s="87">
        <v>35</v>
      </c>
      <c r="Q24" s="86">
        <v>35</v>
      </c>
      <c r="R24" s="87">
        <v>35</v>
      </c>
      <c r="S24" s="86">
        <v>35</v>
      </c>
      <c r="T24" s="87">
        <v>35</v>
      </c>
      <c r="U24" s="86">
        <v>35</v>
      </c>
      <c r="V24" s="205">
        <v>35</v>
      </c>
      <c r="W24" s="200">
        <v>35</v>
      </c>
      <c r="X24" s="87">
        <v>35</v>
      </c>
      <c r="Y24" s="86">
        <v>35</v>
      </c>
      <c r="Z24" s="87">
        <v>35</v>
      </c>
      <c r="AA24" s="86">
        <v>35</v>
      </c>
      <c r="AB24" s="87">
        <v>35</v>
      </c>
      <c r="AC24" s="86">
        <v>35</v>
      </c>
      <c r="AD24" s="87">
        <v>35</v>
      </c>
      <c r="AE24" s="86">
        <v>35</v>
      </c>
      <c r="AF24" s="87">
        <v>35</v>
      </c>
      <c r="AG24" s="86">
        <f>AG23*Rekenblad!$E$30</f>
        <v>0</v>
      </c>
      <c r="AH24" s="87"/>
      <c r="AI24" s="86"/>
      <c r="AJ24" s="87"/>
      <c r="AK24" s="86"/>
      <c r="AL24" s="87"/>
      <c r="AM24" s="86"/>
      <c r="AN24" s="87"/>
      <c r="AO24" s="86"/>
      <c r="AP24" s="87"/>
      <c r="AQ24" s="86"/>
      <c r="AR24" s="87"/>
      <c r="AS24" s="86"/>
      <c r="AT24" s="87"/>
      <c r="AU24" s="86"/>
      <c r="AV24" s="87"/>
      <c r="AW24" s="86"/>
      <c r="AX24" s="87"/>
      <c r="AY24" s="86"/>
    </row>
    <row r="25" spans="1:51" ht="11.25">
      <c r="A25" s="84">
        <v>34</v>
      </c>
      <c r="B25" s="85">
        <v>20</v>
      </c>
      <c r="C25" s="86">
        <v>30</v>
      </c>
      <c r="D25" s="87">
        <v>35</v>
      </c>
      <c r="E25" s="86">
        <v>35</v>
      </c>
      <c r="F25" s="87">
        <v>35</v>
      </c>
      <c r="G25" s="86">
        <v>35</v>
      </c>
      <c r="H25" s="87">
        <v>35</v>
      </c>
      <c r="I25" s="86">
        <v>35</v>
      </c>
      <c r="J25" s="87">
        <v>35</v>
      </c>
      <c r="K25" s="86">
        <v>35</v>
      </c>
      <c r="L25" s="87">
        <v>35</v>
      </c>
      <c r="M25" s="86">
        <v>35</v>
      </c>
      <c r="N25" s="87">
        <v>35</v>
      </c>
      <c r="O25" s="86">
        <v>35</v>
      </c>
      <c r="P25" s="87">
        <v>35</v>
      </c>
      <c r="Q25" s="86">
        <v>35</v>
      </c>
      <c r="R25" s="87">
        <v>35</v>
      </c>
      <c r="S25" s="86">
        <v>35</v>
      </c>
      <c r="T25" s="87">
        <v>35</v>
      </c>
      <c r="U25" s="86">
        <v>35</v>
      </c>
      <c r="V25" s="205">
        <v>35</v>
      </c>
      <c r="W25" s="200">
        <v>35</v>
      </c>
      <c r="X25" s="87">
        <v>35</v>
      </c>
      <c r="Y25" s="86">
        <v>35</v>
      </c>
      <c r="Z25" s="87">
        <v>35</v>
      </c>
      <c r="AA25" s="86">
        <v>35</v>
      </c>
      <c r="AB25" s="87">
        <v>35</v>
      </c>
      <c r="AC25" s="86">
        <v>35</v>
      </c>
      <c r="AD25" s="87">
        <v>35</v>
      </c>
      <c r="AE25" s="86">
        <v>35</v>
      </c>
      <c r="AF25" s="87">
        <f>AF24*Rekenblad!$E$30</f>
        <v>0</v>
      </c>
      <c r="AG25" s="86"/>
      <c r="AH25" s="87"/>
      <c r="AI25" s="86"/>
      <c r="AJ25" s="87"/>
      <c r="AK25" s="86"/>
      <c r="AL25" s="87"/>
      <c r="AM25" s="86"/>
      <c r="AN25" s="87"/>
      <c r="AO25" s="86"/>
      <c r="AP25" s="87"/>
      <c r="AQ25" s="86"/>
      <c r="AR25" s="87"/>
      <c r="AS25" s="86"/>
      <c r="AT25" s="87"/>
      <c r="AU25" s="86"/>
      <c r="AV25" s="87"/>
      <c r="AW25" s="86"/>
      <c r="AX25" s="87"/>
      <c r="AY25" s="86"/>
    </row>
    <row r="26" spans="1:51" ht="11.25">
      <c r="A26" s="84">
        <v>35</v>
      </c>
      <c r="B26" s="85">
        <v>20</v>
      </c>
      <c r="C26" s="86">
        <v>30</v>
      </c>
      <c r="D26" s="87">
        <v>35</v>
      </c>
      <c r="E26" s="86">
        <v>35</v>
      </c>
      <c r="F26" s="87">
        <v>35</v>
      </c>
      <c r="G26" s="86">
        <v>35</v>
      </c>
      <c r="H26" s="87">
        <v>35</v>
      </c>
      <c r="I26" s="86">
        <v>35</v>
      </c>
      <c r="J26" s="87">
        <v>35</v>
      </c>
      <c r="K26" s="86">
        <v>35</v>
      </c>
      <c r="L26" s="87">
        <v>35</v>
      </c>
      <c r="M26" s="86">
        <v>35</v>
      </c>
      <c r="N26" s="87">
        <v>35</v>
      </c>
      <c r="O26" s="86">
        <v>35</v>
      </c>
      <c r="P26" s="87">
        <v>35</v>
      </c>
      <c r="Q26" s="86">
        <v>35</v>
      </c>
      <c r="R26" s="87">
        <v>35</v>
      </c>
      <c r="S26" s="86">
        <v>35</v>
      </c>
      <c r="T26" s="87">
        <v>35</v>
      </c>
      <c r="U26" s="86">
        <v>35</v>
      </c>
      <c r="V26" s="205">
        <v>35</v>
      </c>
      <c r="W26" s="200">
        <v>35</v>
      </c>
      <c r="X26" s="87">
        <v>35</v>
      </c>
      <c r="Y26" s="86">
        <v>35</v>
      </c>
      <c r="Z26" s="87">
        <v>35</v>
      </c>
      <c r="AA26" s="86">
        <v>35</v>
      </c>
      <c r="AB26" s="87">
        <v>35</v>
      </c>
      <c r="AC26" s="86">
        <v>35</v>
      </c>
      <c r="AD26" s="87">
        <v>35</v>
      </c>
      <c r="AE26" s="86">
        <f>AE25*Rekenblad!$E$30</f>
        <v>0</v>
      </c>
      <c r="AF26" s="87"/>
      <c r="AG26" s="86"/>
      <c r="AH26" s="87"/>
      <c r="AI26" s="86"/>
      <c r="AJ26" s="87"/>
      <c r="AK26" s="86"/>
      <c r="AL26" s="87"/>
      <c r="AM26" s="86"/>
      <c r="AN26" s="87"/>
      <c r="AO26" s="86"/>
      <c r="AP26" s="87"/>
      <c r="AQ26" s="86"/>
      <c r="AR26" s="87"/>
      <c r="AS26" s="86"/>
      <c r="AT26" s="87"/>
      <c r="AU26" s="86"/>
      <c r="AV26" s="87"/>
      <c r="AW26" s="86"/>
      <c r="AX26" s="87"/>
      <c r="AY26" s="86"/>
    </row>
    <row r="27" spans="1:51" ht="11.25">
      <c r="A27" s="84">
        <v>36</v>
      </c>
      <c r="B27" s="85">
        <v>20</v>
      </c>
      <c r="C27" s="86">
        <v>30</v>
      </c>
      <c r="D27" s="87">
        <v>35</v>
      </c>
      <c r="E27" s="86">
        <v>35</v>
      </c>
      <c r="F27" s="87">
        <v>35</v>
      </c>
      <c r="G27" s="86">
        <v>35</v>
      </c>
      <c r="H27" s="87">
        <v>35</v>
      </c>
      <c r="I27" s="86">
        <v>35</v>
      </c>
      <c r="J27" s="87">
        <v>35</v>
      </c>
      <c r="K27" s="86">
        <v>35</v>
      </c>
      <c r="L27" s="87">
        <v>35</v>
      </c>
      <c r="M27" s="86">
        <v>35</v>
      </c>
      <c r="N27" s="87">
        <v>35</v>
      </c>
      <c r="O27" s="86">
        <v>35</v>
      </c>
      <c r="P27" s="87">
        <v>35</v>
      </c>
      <c r="Q27" s="86">
        <v>35</v>
      </c>
      <c r="R27" s="87">
        <v>35</v>
      </c>
      <c r="S27" s="86">
        <v>35</v>
      </c>
      <c r="T27" s="87">
        <v>35</v>
      </c>
      <c r="U27" s="86">
        <v>35</v>
      </c>
      <c r="V27" s="205">
        <v>35</v>
      </c>
      <c r="W27" s="200">
        <v>35</v>
      </c>
      <c r="X27" s="87">
        <v>35</v>
      </c>
      <c r="Y27" s="86">
        <v>35</v>
      </c>
      <c r="Z27" s="87">
        <v>35</v>
      </c>
      <c r="AA27" s="86">
        <v>35</v>
      </c>
      <c r="AB27" s="87">
        <v>35</v>
      </c>
      <c r="AC27" s="86">
        <v>35</v>
      </c>
      <c r="AD27" s="87">
        <f>AD26*Rekenblad!$E$30</f>
        <v>0</v>
      </c>
      <c r="AE27" s="86"/>
      <c r="AF27" s="87"/>
      <c r="AG27" s="86"/>
      <c r="AH27" s="87"/>
      <c r="AI27" s="86"/>
      <c r="AJ27" s="87"/>
      <c r="AK27" s="86"/>
      <c r="AL27" s="87"/>
      <c r="AM27" s="86"/>
      <c r="AN27" s="87"/>
      <c r="AO27" s="86"/>
      <c r="AP27" s="87"/>
      <c r="AQ27" s="86"/>
      <c r="AR27" s="87"/>
      <c r="AS27" s="86"/>
      <c r="AT27" s="87"/>
      <c r="AU27" s="86"/>
      <c r="AV27" s="87"/>
      <c r="AW27" s="86"/>
      <c r="AX27" s="87"/>
      <c r="AY27" s="86"/>
    </row>
    <row r="28" spans="1:51" ht="11.25">
      <c r="A28" s="84">
        <v>37</v>
      </c>
      <c r="B28" s="85">
        <v>20</v>
      </c>
      <c r="C28" s="86">
        <v>30</v>
      </c>
      <c r="D28" s="87">
        <v>35</v>
      </c>
      <c r="E28" s="86">
        <v>35</v>
      </c>
      <c r="F28" s="87">
        <v>35</v>
      </c>
      <c r="G28" s="86">
        <v>35</v>
      </c>
      <c r="H28" s="87">
        <v>35</v>
      </c>
      <c r="I28" s="86">
        <v>35</v>
      </c>
      <c r="J28" s="87">
        <v>35</v>
      </c>
      <c r="K28" s="86">
        <v>35</v>
      </c>
      <c r="L28" s="87">
        <v>35</v>
      </c>
      <c r="M28" s="86">
        <v>35</v>
      </c>
      <c r="N28" s="87">
        <v>35</v>
      </c>
      <c r="O28" s="86">
        <v>35</v>
      </c>
      <c r="P28" s="87">
        <v>35</v>
      </c>
      <c r="Q28" s="86">
        <v>35</v>
      </c>
      <c r="R28" s="87">
        <v>35</v>
      </c>
      <c r="S28" s="86">
        <v>35</v>
      </c>
      <c r="T28" s="87">
        <v>35</v>
      </c>
      <c r="U28" s="86">
        <v>35</v>
      </c>
      <c r="V28" s="205">
        <v>35</v>
      </c>
      <c r="W28" s="200">
        <v>35</v>
      </c>
      <c r="X28" s="87">
        <v>35</v>
      </c>
      <c r="Y28" s="86">
        <v>35</v>
      </c>
      <c r="Z28" s="87">
        <v>35</v>
      </c>
      <c r="AA28" s="86">
        <v>35</v>
      </c>
      <c r="AB28" s="87">
        <v>35</v>
      </c>
      <c r="AC28" s="86">
        <f>AC27*Rekenblad!$E$30</f>
        <v>0</v>
      </c>
      <c r="AD28" s="87"/>
      <c r="AE28" s="86"/>
      <c r="AF28" s="87"/>
      <c r="AG28" s="86"/>
      <c r="AH28" s="87"/>
      <c r="AI28" s="86"/>
      <c r="AJ28" s="87"/>
      <c r="AK28" s="86"/>
      <c r="AL28" s="87"/>
      <c r="AM28" s="86"/>
      <c r="AN28" s="87"/>
      <c r="AO28" s="86"/>
      <c r="AP28" s="87"/>
      <c r="AQ28" s="86"/>
      <c r="AR28" s="87"/>
      <c r="AS28" s="86"/>
      <c r="AT28" s="87"/>
      <c r="AU28" s="86"/>
      <c r="AV28" s="87"/>
      <c r="AW28" s="86"/>
      <c r="AX28" s="87"/>
      <c r="AY28" s="86"/>
    </row>
    <row r="29" spans="1:51" ht="11.25">
      <c r="A29" s="84">
        <v>38</v>
      </c>
      <c r="B29" s="85">
        <v>20</v>
      </c>
      <c r="C29" s="86">
        <v>30</v>
      </c>
      <c r="D29" s="87">
        <v>35</v>
      </c>
      <c r="E29" s="86">
        <v>35</v>
      </c>
      <c r="F29" s="87">
        <v>35</v>
      </c>
      <c r="G29" s="86">
        <v>35</v>
      </c>
      <c r="H29" s="87">
        <v>35</v>
      </c>
      <c r="I29" s="86">
        <v>35</v>
      </c>
      <c r="J29" s="87">
        <v>35</v>
      </c>
      <c r="K29" s="86">
        <v>35</v>
      </c>
      <c r="L29" s="87">
        <v>35</v>
      </c>
      <c r="M29" s="86">
        <v>35</v>
      </c>
      <c r="N29" s="87">
        <v>35</v>
      </c>
      <c r="O29" s="86">
        <v>35</v>
      </c>
      <c r="P29" s="87">
        <v>35</v>
      </c>
      <c r="Q29" s="86">
        <v>35</v>
      </c>
      <c r="R29" s="87">
        <v>35</v>
      </c>
      <c r="S29" s="86">
        <v>35</v>
      </c>
      <c r="T29" s="87">
        <v>35</v>
      </c>
      <c r="U29" s="86">
        <v>35</v>
      </c>
      <c r="V29" s="205">
        <v>35</v>
      </c>
      <c r="W29" s="200">
        <v>35</v>
      </c>
      <c r="X29" s="87">
        <v>35</v>
      </c>
      <c r="Y29" s="86">
        <v>35</v>
      </c>
      <c r="Z29" s="87">
        <v>35</v>
      </c>
      <c r="AA29" s="86">
        <v>35</v>
      </c>
      <c r="AB29" s="87">
        <f>AB28*Rekenblad!$E$30</f>
        <v>0</v>
      </c>
      <c r="AC29" s="86"/>
      <c r="AD29" s="87"/>
      <c r="AE29" s="86"/>
      <c r="AF29" s="87"/>
      <c r="AG29" s="86"/>
      <c r="AH29" s="87"/>
      <c r="AI29" s="86"/>
      <c r="AJ29" s="87"/>
      <c r="AK29" s="86"/>
      <c r="AL29" s="87"/>
      <c r="AM29" s="86"/>
      <c r="AN29" s="87"/>
      <c r="AO29" s="86"/>
      <c r="AP29" s="87"/>
      <c r="AQ29" s="86"/>
      <c r="AR29" s="87"/>
      <c r="AS29" s="86"/>
      <c r="AT29" s="87"/>
      <c r="AU29" s="86"/>
      <c r="AV29" s="87"/>
      <c r="AW29" s="86"/>
      <c r="AX29" s="87"/>
      <c r="AY29" s="86"/>
    </row>
    <row r="30" spans="1:51" ht="11.25">
      <c r="A30" s="84">
        <v>39</v>
      </c>
      <c r="B30" s="85">
        <v>20</v>
      </c>
      <c r="C30" s="86">
        <v>30</v>
      </c>
      <c r="D30" s="87">
        <v>35</v>
      </c>
      <c r="E30" s="86">
        <v>35</v>
      </c>
      <c r="F30" s="87">
        <v>35</v>
      </c>
      <c r="G30" s="86">
        <v>35</v>
      </c>
      <c r="H30" s="87">
        <v>35</v>
      </c>
      <c r="I30" s="86">
        <v>35</v>
      </c>
      <c r="J30" s="87">
        <v>35</v>
      </c>
      <c r="K30" s="86">
        <v>35</v>
      </c>
      <c r="L30" s="87">
        <v>35</v>
      </c>
      <c r="M30" s="86">
        <v>35</v>
      </c>
      <c r="N30" s="87">
        <v>35</v>
      </c>
      <c r="O30" s="86">
        <v>35</v>
      </c>
      <c r="P30" s="87">
        <v>35</v>
      </c>
      <c r="Q30" s="86">
        <v>35</v>
      </c>
      <c r="R30" s="87">
        <v>35</v>
      </c>
      <c r="S30" s="86">
        <v>35</v>
      </c>
      <c r="T30" s="87">
        <v>35</v>
      </c>
      <c r="U30" s="86">
        <v>35</v>
      </c>
      <c r="V30" s="205">
        <v>35</v>
      </c>
      <c r="W30" s="200">
        <v>35</v>
      </c>
      <c r="X30" s="87">
        <v>35</v>
      </c>
      <c r="Y30" s="86">
        <v>35</v>
      </c>
      <c r="Z30" s="87">
        <v>35</v>
      </c>
      <c r="AA30" s="86">
        <f>AA29*Rekenblad!$E$30</f>
        <v>0</v>
      </c>
      <c r="AB30" s="87"/>
      <c r="AC30" s="86"/>
      <c r="AD30" s="87"/>
      <c r="AE30" s="86"/>
      <c r="AF30" s="87"/>
      <c r="AG30" s="86"/>
      <c r="AH30" s="87"/>
      <c r="AI30" s="86"/>
      <c r="AJ30" s="87"/>
      <c r="AK30" s="86"/>
      <c r="AL30" s="87"/>
      <c r="AM30" s="86"/>
      <c r="AN30" s="87"/>
      <c r="AO30" s="86"/>
      <c r="AP30" s="87"/>
      <c r="AQ30" s="86"/>
      <c r="AR30" s="87"/>
      <c r="AS30" s="86"/>
      <c r="AT30" s="87"/>
      <c r="AU30" s="86"/>
      <c r="AV30" s="87"/>
      <c r="AW30" s="86"/>
      <c r="AX30" s="87"/>
      <c r="AY30" s="86"/>
    </row>
    <row r="31" spans="1:51" ht="11.25">
      <c r="A31" s="84">
        <v>40</v>
      </c>
      <c r="B31" s="85">
        <v>20</v>
      </c>
      <c r="C31" s="86">
        <v>30</v>
      </c>
      <c r="D31" s="87">
        <v>35</v>
      </c>
      <c r="E31" s="86">
        <v>35</v>
      </c>
      <c r="F31" s="87">
        <v>35</v>
      </c>
      <c r="G31" s="86">
        <v>35</v>
      </c>
      <c r="H31" s="87">
        <v>35</v>
      </c>
      <c r="I31" s="86">
        <v>35</v>
      </c>
      <c r="J31" s="87">
        <v>35</v>
      </c>
      <c r="K31" s="86">
        <v>35</v>
      </c>
      <c r="L31" s="87">
        <v>35</v>
      </c>
      <c r="M31" s="86">
        <v>35</v>
      </c>
      <c r="N31" s="87">
        <v>35</v>
      </c>
      <c r="O31" s="86">
        <v>35</v>
      </c>
      <c r="P31" s="87">
        <v>35</v>
      </c>
      <c r="Q31" s="86">
        <v>35</v>
      </c>
      <c r="R31" s="87">
        <v>35</v>
      </c>
      <c r="S31" s="86">
        <v>35</v>
      </c>
      <c r="T31" s="87">
        <v>35</v>
      </c>
      <c r="U31" s="86">
        <v>35</v>
      </c>
      <c r="V31" s="205">
        <v>35</v>
      </c>
      <c r="W31" s="200">
        <v>35</v>
      </c>
      <c r="X31" s="87">
        <v>35</v>
      </c>
      <c r="Y31" s="86">
        <v>35</v>
      </c>
      <c r="Z31" s="87">
        <f>Z30*Rekenblad!$E$30</f>
        <v>0</v>
      </c>
      <c r="AA31" s="86"/>
      <c r="AB31" s="87"/>
      <c r="AC31" s="86"/>
      <c r="AD31" s="87"/>
      <c r="AE31" s="86"/>
      <c r="AF31" s="87"/>
      <c r="AG31" s="86"/>
      <c r="AH31" s="87"/>
      <c r="AI31" s="86"/>
      <c r="AJ31" s="87"/>
      <c r="AK31" s="86"/>
      <c r="AL31" s="87"/>
      <c r="AM31" s="86"/>
      <c r="AN31" s="87"/>
      <c r="AO31" s="86"/>
      <c r="AP31" s="87"/>
      <c r="AQ31" s="86"/>
      <c r="AR31" s="87"/>
      <c r="AS31" s="86"/>
      <c r="AT31" s="87"/>
      <c r="AU31" s="86"/>
      <c r="AV31" s="87"/>
      <c r="AW31" s="86"/>
      <c r="AX31" s="87"/>
      <c r="AY31" s="86"/>
    </row>
    <row r="32" spans="1:51" ht="11.25">
      <c r="A32" s="84">
        <v>41</v>
      </c>
      <c r="B32" s="85">
        <v>20</v>
      </c>
      <c r="C32" s="86">
        <v>30</v>
      </c>
      <c r="D32" s="87">
        <v>35</v>
      </c>
      <c r="E32" s="86">
        <v>35</v>
      </c>
      <c r="F32" s="87">
        <v>35</v>
      </c>
      <c r="G32" s="86">
        <v>35</v>
      </c>
      <c r="H32" s="87">
        <v>35</v>
      </c>
      <c r="I32" s="86">
        <v>35</v>
      </c>
      <c r="J32" s="87">
        <v>35</v>
      </c>
      <c r="K32" s="86">
        <v>35</v>
      </c>
      <c r="L32" s="87">
        <v>35</v>
      </c>
      <c r="M32" s="86">
        <v>35</v>
      </c>
      <c r="N32" s="87">
        <v>35</v>
      </c>
      <c r="O32" s="86">
        <v>35</v>
      </c>
      <c r="P32" s="87">
        <v>35</v>
      </c>
      <c r="Q32" s="86">
        <v>35</v>
      </c>
      <c r="R32" s="87">
        <v>35</v>
      </c>
      <c r="S32" s="86">
        <v>35</v>
      </c>
      <c r="T32" s="87">
        <v>35</v>
      </c>
      <c r="U32" s="86">
        <v>35</v>
      </c>
      <c r="V32" s="205">
        <v>35</v>
      </c>
      <c r="W32" s="200">
        <v>35</v>
      </c>
      <c r="X32" s="87">
        <v>35</v>
      </c>
      <c r="Y32" s="86">
        <f>Y31*Rekenblad!$E$30</f>
        <v>0</v>
      </c>
      <c r="Z32" s="87"/>
      <c r="AA32" s="86"/>
      <c r="AB32" s="87"/>
      <c r="AC32" s="86"/>
      <c r="AD32" s="87"/>
      <c r="AE32" s="86"/>
      <c r="AF32" s="87"/>
      <c r="AG32" s="86"/>
      <c r="AH32" s="87"/>
      <c r="AI32" s="86"/>
      <c r="AJ32" s="87"/>
      <c r="AK32" s="86"/>
      <c r="AL32" s="87"/>
      <c r="AM32" s="86"/>
      <c r="AN32" s="87"/>
      <c r="AO32" s="86"/>
      <c r="AP32" s="87"/>
      <c r="AQ32" s="86"/>
      <c r="AR32" s="87"/>
      <c r="AS32" s="86"/>
      <c r="AT32" s="87"/>
      <c r="AU32" s="86"/>
      <c r="AV32" s="87"/>
      <c r="AW32" s="86"/>
      <c r="AX32" s="87"/>
      <c r="AY32" s="86"/>
    </row>
    <row r="33" spans="1:51" ht="11.25">
      <c r="A33" s="84">
        <v>42</v>
      </c>
      <c r="B33" s="85">
        <v>20</v>
      </c>
      <c r="C33" s="86">
        <v>30</v>
      </c>
      <c r="D33" s="87">
        <v>35</v>
      </c>
      <c r="E33" s="86">
        <v>35</v>
      </c>
      <c r="F33" s="87">
        <v>35</v>
      </c>
      <c r="G33" s="86">
        <v>35</v>
      </c>
      <c r="H33" s="87">
        <v>35</v>
      </c>
      <c r="I33" s="86">
        <v>35</v>
      </c>
      <c r="J33" s="87">
        <v>35</v>
      </c>
      <c r="K33" s="86">
        <v>35</v>
      </c>
      <c r="L33" s="87">
        <v>35</v>
      </c>
      <c r="M33" s="86">
        <v>35</v>
      </c>
      <c r="N33" s="87">
        <v>35</v>
      </c>
      <c r="O33" s="86">
        <v>35</v>
      </c>
      <c r="P33" s="87">
        <v>35</v>
      </c>
      <c r="Q33" s="86">
        <v>35</v>
      </c>
      <c r="R33" s="87">
        <v>35</v>
      </c>
      <c r="S33" s="86">
        <v>35</v>
      </c>
      <c r="T33" s="87">
        <v>35</v>
      </c>
      <c r="U33" s="86">
        <v>35</v>
      </c>
      <c r="V33" s="205">
        <v>35</v>
      </c>
      <c r="W33" s="200">
        <v>35</v>
      </c>
      <c r="X33" s="87">
        <f>X32*Rekenblad!$E$30</f>
        <v>0</v>
      </c>
      <c r="Y33" s="86"/>
      <c r="Z33" s="87"/>
      <c r="AA33" s="86"/>
      <c r="AB33" s="87"/>
      <c r="AC33" s="86"/>
      <c r="AD33" s="87"/>
      <c r="AE33" s="86"/>
      <c r="AF33" s="87"/>
      <c r="AG33" s="86"/>
      <c r="AH33" s="87"/>
      <c r="AI33" s="86"/>
      <c r="AJ33" s="87"/>
      <c r="AK33" s="86"/>
      <c r="AL33" s="87"/>
      <c r="AM33" s="86"/>
      <c r="AN33" s="87"/>
      <c r="AO33" s="86"/>
      <c r="AP33" s="87"/>
      <c r="AQ33" s="86"/>
      <c r="AR33" s="87"/>
      <c r="AS33" s="86"/>
      <c r="AT33" s="87"/>
      <c r="AU33" s="86"/>
      <c r="AV33" s="87"/>
      <c r="AW33" s="86"/>
      <c r="AX33" s="87"/>
      <c r="AY33" s="86"/>
    </row>
    <row r="34" spans="1:51" ht="11.25">
      <c r="A34" s="84">
        <v>43</v>
      </c>
      <c r="B34" s="85">
        <v>20</v>
      </c>
      <c r="C34" s="86">
        <v>30</v>
      </c>
      <c r="D34" s="87">
        <v>35</v>
      </c>
      <c r="E34" s="86">
        <v>35</v>
      </c>
      <c r="F34" s="87">
        <v>35</v>
      </c>
      <c r="G34" s="86">
        <v>35</v>
      </c>
      <c r="H34" s="87">
        <v>35</v>
      </c>
      <c r="I34" s="86">
        <v>35</v>
      </c>
      <c r="J34" s="87">
        <v>35</v>
      </c>
      <c r="K34" s="86">
        <v>35</v>
      </c>
      <c r="L34" s="87">
        <v>35</v>
      </c>
      <c r="M34" s="86">
        <v>35</v>
      </c>
      <c r="N34" s="87">
        <v>35</v>
      </c>
      <c r="O34" s="86">
        <v>35</v>
      </c>
      <c r="P34" s="87">
        <v>35</v>
      </c>
      <c r="Q34" s="86">
        <v>35</v>
      </c>
      <c r="R34" s="87">
        <v>35</v>
      </c>
      <c r="S34" s="86">
        <v>35</v>
      </c>
      <c r="T34" s="87">
        <v>35</v>
      </c>
      <c r="U34" s="86">
        <v>35</v>
      </c>
      <c r="V34" s="205">
        <v>35</v>
      </c>
      <c r="W34" s="200">
        <f>W33*Rekenblad!$E$30</f>
        <v>0</v>
      </c>
      <c r="X34" s="87"/>
      <c r="Y34" s="86"/>
      <c r="Z34" s="87"/>
      <c r="AA34" s="86"/>
      <c r="AB34" s="87"/>
      <c r="AC34" s="86"/>
      <c r="AD34" s="87"/>
      <c r="AE34" s="86"/>
      <c r="AF34" s="87"/>
      <c r="AG34" s="86"/>
      <c r="AH34" s="87"/>
      <c r="AI34" s="86"/>
      <c r="AJ34" s="87"/>
      <c r="AK34" s="86"/>
      <c r="AL34" s="87"/>
      <c r="AM34" s="86"/>
      <c r="AN34" s="87"/>
      <c r="AO34" s="86"/>
      <c r="AP34" s="87"/>
      <c r="AQ34" s="86"/>
      <c r="AR34" s="87"/>
      <c r="AS34" s="86"/>
      <c r="AT34" s="87"/>
      <c r="AU34" s="86"/>
      <c r="AV34" s="87"/>
      <c r="AW34" s="86"/>
      <c r="AX34" s="87"/>
      <c r="AY34" s="86"/>
    </row>
    <row r="35" spans="1:51" ht="11.25">
      <c r="A35" s="84">
        <v>44</v>
      </c>
      <c r="B35" s="85">
        <v>20</v>
      </c>
      <c r="C35" s="86">
        <v>30</v>
      </c>
      <c r="D35" s="87">
        <v>35</v>
      </c>
      <c r="E35" s="86">
        <v>35</v>
      </c>
      <c r="F35" s="87">
        <v>35</v>
      </c>
      <c r="G35" s="86">
        <v>35</v>
      </c>
      <c r="H35" s="87">
        <v>35</v>
      </c>
      <c r="I35" s="86">
        <v>35</v>
      </c>
      <c r="J35" s="87">
        <v>35</v>
      </c>
      <c r="K35" s="86">
        <v>35</v>
      </c>
      <c r="L35" s="87">
        <v>35</v>
      </c>
      <c r="M35" s="86">
        <v>35</v>
      </c>
      <c r="N35" s="87">
        <v>35</v>
      </c>
      <c r="O35" s="86">
        <v>35</v>
      </c>
      <c r="P35" s="87">
        <v>35</v>
      </c>
      <c r="Q35" s="86">
        <v>35</v>
      </c>
      <c r="R35" s="87">
        <v>35</v>
      </c>
      <c r="S35" s="86">
        <v>35</v>
      </c>
      <c r="T35" s="87">
        <v>35</v>
      </c>
      <c r="U35" s="86">
        <v>35</v>
      </c>
      <c r="V35" s="205">
        <f>V34*Rekenblad!$E$30</f>
        <v>0</v>
      </c>
      <c r="W35" s="200"/>
      <c r="X35" s="87"/>
      <c r="Y35" s="86"/>
      <c r="Z35" s="87"/>
      <c r="AA35" s="86"/>
      <c r="AB35" s="87"/>
      <c r="AC35" s="86"/>
      <c r="AD35" s="87"/>
      <c r="AE35" s="86"/>
      <c r="AF35" s="87"/>
      <c r="AG35" s="86"/>
      <c r="AH35" s="87"/>
      <c r="AI35" s="86"/>
      <c r="AJ35" s="87"/>
      <c r="AK35" s="86"/>
      <c r="AL35" s="87"/>
      <c r="AM35" s="86"/>
      <c r="AN35" s="87"/>
      <c r="AO35" s="86"/>
      <c r="AP35" s="87"/>
      <c r="AQ35" s="86"/>
      <c r="AR35" s="87"/>
      <c r="AS35" s="86"/>
      <c r="AT35" s="87"/>
      <c r="AU35" s="86"/>
      <c r="AV35" s="87"/>
      <c r="AW35" s="86"/>
      <c r="AX35" s="87"/>
      <c r="AY35" s="86"/>
    </row>
    <row r="36" spans="1:51" ht="11.25">
      <c r="A36" s="84">
        <v>45</v>
      </c>
      <c r="B36" s="85">
        <v>20</v>
      </c>
      <c r="C36" s="86">
        <v>30</v>
      </c>
      <c r="D36" s="87">
        <v>35</v>
      </c>
      <c r="E36" s="86">
        <v>35</v>
      </c>
      <c r="F36" s="87">
        <v>35</v>
      </c>
      <c r="G36" s="86">
        <v>35</v>
      </c>
      <c r="H36" s="87">
        <v>35</v>
      </c>
      <c r="I36" s="86">
        <v>35</v>
      </c>
      <c r="J36" s="87">
        <v>35</v>
      </c>
      <c r="K36" s="86">
        <v>35</v>
      </c>
      <c r="L36" s="87">
        <v>35</v>
      </c>
      <c r="M36" s="86">
        <v>35</v>
      </c>
      <c r="N36" s="87">
        <v>35</v>
      </c>
      <c r="O36" s="86">
        <v>35</v>
      </c>
      <c r="P36" s="87">
        <v>35</v>
      </c>
      <c r="Q36" s="86">
        <v>35</v>
      </c>
      <c r="R36" s="87">
        <v>35</v>
      </c>
      <c r="S36" s="86">
        <v>35</v>
      </c>
      <c r="T36" s="87">
        <v>35</v>
      </c>
      <c r="U36" s="86">
        <f>U35*Rekenblad!$E$30</f>
        <v>0</v>
      </c>
      <c r="V36" s="205"/>
      <c r="W36" s="200"/>
      <c r="X36" s="87"/>
      <c r="Y36" s="86"/>
      <c r="Z36" s="87"/>
      <c r="AA36" s="86"/>
      <c r="AB36" s="87"/>
      <c r="AC36" s="86"/>
      <c r="AD36" s="87"/>
      <c r="AE36" s="86"/>
      <c r="AF36" s="87"/>
      <c r="AG36" s="86"/>
      <c r="AH36" s="87"/>
      <c r="AI36" s="86"/>
      <c r="AJ36" s="87"/>
      <c r="AK36" s="86"/>
      <c r="AL36" s="87"/>
      <c r="AM36" s="86"/>
      <c r="AN36" s="87"/>
      <c r="AO36" s="86"/>
      <c r="AP36" s="87"/>
      <c r="AQ36" s="86"/>
      <c r="AR36" s="87"/>
      <c r="AS36" s="86"/>
      <c r="AT36" s="87"/>
      <c r="AU36" s="86"/>
      <c r="AV36" s="87"/>
      <c r="AW36" s="86"/>
      <c r="AX36" s="87"/>
      <c r="AY36" s="86"/>
    </row>
    <row r="37" spans="1:51" ht="11.25">
      <c r="A37" s="84">
        <v>46</v>
      </c>
      <c r="B37" s="85">
        <v>20</v>
      </c>
      <c r="C37" s="86">
        <v>30</v>
      </c>
      <c r="D37" s="87">
        <v>35</v>
      </c>
      <c r="E37" s="86">
        <v>35</v>
      </c>
      <c r="F37" s="87">
        <v>35</v>
      </c>
      <c r="G37" s="86">
        <v>35</v>
      </c>
      <c r="H37" s="87">
        <v>35</v>
      </c>
      <c r="I37" s="86">
        <v>35</v>
      </c>
      <c r="J37" s="87">
        <v>35</v>
      </c>
      <c r="K37" s="86">
        <v>35</v>
      </c>
      <c r="L37" s="87">
        <v>35</v>
      </c>
      <c r="M37" s="86">
        <v>35</v>
      </c>
      <c r="N37" s="87">
        <v>35</v>
      </c>
      <c r="O37" s="86">
        <v>35</v>
      </c>
      <c r="P37" s="87">
        <v>35</v>
      </c>
      <c r="Q37" s="86">
        <v>35</v>
      </c>
      <c r="R37" s="87">
        <v>35</v>
      </c>
      <c r="S37" s="86">
        <v>35</v>
      </c>
      <c r="T37" s="87">
        <f>T36*Rekenblad!$E$30</f>
        <v>0</v>
      </c>
      <c r="U37" s="86"/>
      <c r="V37" s="205"/>
      <c r="W37" s="200"/>
      <c r="X37" s="87"/>
      <c r="Y37" s="86"/>
      <c r="Z37" s="87"/>
      <c r="AA37" s="86"/>
      <c r="AB37" s="87"/>
      <c r="AC37" s="86"/>
      <c r="AD37" s="87"/>
      <c r="AE37" s="86"/>
      <c r="AF37" s="87"/>
      <c r="AG37" s="86"/>
      <c r="AH37" s="87"/>
      <c r="AI37" s="86"/>
      <c r="AJ37" s="87"/>
      <c r="AK37" s="86"/>
      <c r="AL37" s="87"/>
      <c r="AM37" s="86"/>
      <c r="AN37" s="87"/>
      <c r="AO37" s="86"/>
      <c r="AP37" s="87"/>
      <c r="AQ37" s="86"/>
      <c r="AR37" s="87"/>
      <c r="AS37" s="86"/>
      <c r="AT37" s="87"/>
      <c r="AU37" s="86"/>
      <c r="AV37" s="87"/>
      <c r="AW37" s="86"/>
      <c r="AX37" s="87"/>
      <c r="AY37" s="86"/>
    </row>
    <row r="38" spans="1:51" ht="11.25">
      <c r="A38" s="84">
        <v>47</v>
      </c>
      <c r="B38" s="85">
        <v>20</v>
      </c>
      <c r="C38" s="86">
        <v>30</v>
      </c>
      <c r="D38" s="87">
        <v>35</v>
      </c>
      <c r="E38" s="86">
        <v>35</v>
      </c>
      <c r="F38" s="87">
        <v>35</v>
      </c>
      <c r="G38" s="86">
        <v>35</v>
      </c>
      <c r="H38" s="87">
        <v>35</v>
      </c>
      <c r="I38" s="86">
        <v>35</v>
      </c>
      <c r="J38" s="87">
        <v>35</v>
      </c>
      <c r="K38" s="86">
        <v>35</v>
      </c>
      <c r="L38" s="87">
        <v>35</v>
      </c>
      <c r="M38" s="86">
        <v>35</v>
      </c>
      <c r="N38" s="87">
        <v>35</v>
      </c>
      <c r="O38" s="86">
        <v>35</v>
      </c>
      <c r="P38" s="87">
        <v>35</v>
      </c>
      <c r="Q38" s="86">
        <v>35</v>
      </c>
      <c r="R38" s="87">
        <v>35</v>
      </c>
      <c r="S38" s="86">
        <f>S37*Rekenblad!$E$30</f>
        <v>0</v>
      </c>
      <c r="T38" s="87"/>
      <c r="U38" s="86"/>
      <c r="V38" s="205"/>
      <c r="W38" s="200"/>
      <c r="X38" s="87"/>
      <c r="Y38" s="86"/>
      <c r="Z38" s="87"/>
      <c r="AA38" s="86"/>
      <c r="AB38" s="87"/>
      <c r="AC38" s="86"/>
      <c r="AD38" s="87"/>
      <c r="AE38" s="86"/>
      <c r="AF38" s="87"/>
      <c r="AG38" s="86"/>
      <c r="AH38" s="87"/>
      <c r="AI38" s="86"/>
      <c r="AJ38" s="87"/>
      <c r="AK38" s="86"/>
      <c r="AL38" s="87"/>
      <c r="AM38" s="86"/>
      <c r="AN38" s="87"/>
      <c r="AO38" s="86"/>
      <c r="AP38" s="87"/>
      <c r="AQ38" s="86"/>
      <c r="AR38" s="87"/>
      <c r="AS38" s="86"/>
      <c r="AT38" s="87"/>
      <c r="AU38" s="86"/>
      <c r="AV38" s="87"/>
      <c r="AW38" s="86"/>
      <c r="AX38" s="87"/>
      <c r="AY38" s="86"/>
    </row>
    <row r="39" spans="1:51" ht="11.25">
      <c r="A39" s="84">
        <v>48</v>
      </c>
      <c r="B39" s="85">
        <v>20</v>
      </c>
      <c r="C39" s="86">
        <v>30</v>
      </c>
      <c r="D39" s="87">
        <v>35</v>
      </c>
      <c r="E39" s="86">
        <v>35</v>
      </c>
      <c r="F39" s="87">
        <v>35</v>
      </c>
      <c r="G39" s="86">
        <v>35</v>
      </c>
      <c r="H39" s="87">
        <v>35</v>
      </c>
      <c r="I39" s="86">
        <v>35</v>
      </c>
      <c r="J39" s="87">
        <v>35</v>
      </c>
      <c r="K39" s="86">
        <v>35</v>
      </c>
      <c r="L39" s="87">
        <v>35</v>
      </c>
      <c r="M39" s="86">
        <v>35</v>
      </c>
      <c r="N39" s="87">
        <v>35</v>
      </c>
      <c r="O39" s="86">
        <v>35</v>
      </c>
      <c r="P39" s="87">
        <v>35</v>
      </c>
      <c r="Q39" s="86">
        <v>35</v>
      </c>
      <c r="R39" s="87">
        <f>R38*Rekenblad!$E$30</f>
        <v>0</v>
      </c>
      <c r="S39" s="86"/>
      <c r="T39" s="87"/>
      <c r="U39" s="86"/>
      <c r="V39" s="205"/>
      <c r="W39" s="200"/>
      <c r="X39" s="87"/>
      <c r="Y39" s="86"/>
      <c r="Z39" s="87"/>
      <c r="AA39" s="86"/>
      <c r="AB39" s="87"/>
      <c r="AC39" s="86"/>
      <c r="AD39" s="87"/>
      <c r="AE39" s="86"/>
      <c r="AF39" s="87"/>
      <c r="AG39" s="86"/>
      <c r="AH39" s="87"/>
      <c r="AI39" s="86"/>
      <c r="AJ39" s="87"/>
      <c r="AK39" s="86"/>
      <c r="AL39" s="87"/>
      <c r="AM39" s="86"/>
      <c r="AN39" s="87"/>
      <c r="AO39" s="86"/>
      <c r="AP39" s="87"/>
      <c r="AQ39" s="86"/>
      <c r="AR39" s="87"/>
      <c r="AS39" s="86"/>
      <c r="AT39" s="87"/>
      <c r="AU39" s="86"/>
      <c r="AV39" s="87"/>
      <c r="AW39" s="86"/>
      <c r="AX39" s="87"/>
      <c r="AY39" s="86"/>
    </row>
    <row r="40" spans="1:51" ht="11.25">
      <c r="A40" s="84">
        <v>49</v>
      </c>
      <c r="B40" s="85">
        <v>20</v>
      </c>
      <c r="C40" s="86">
        <v>30</v>
      </c>
      <c r="D40" s="87">
        <v>35</v>
      </c>
      <c r="E40" s="86">
        <v>35</v>
      </c>
      <c r="F40" s="261">
        <v>35</v>
      </c>
      <c r="G40" s="86">
        <v>35</v>
      </c>
      <c r="H40" s="87">
        <v>35</v>
      </c>
      <c r="I40" s="86">
        <v>35</v>
      </c>
      <c r="J40" s="87">
        <v>35</v>
      </c>
      <c r="K40" s="86">
        <v>35</v>
      </c>
      <c r="L40" s="87">
        <v>35</v>
      </c>
      <c r="M40" s="86">
        <v>35</v>
      </c>
      <c r="N40" s="87">
        <v>35</v>
      </c>
      <c r="O40" s="86">
        <v>35</v>
      </c>
      <c r="P40" s="87">
        <v>35</v>
      </c>
      <c r="Q40" s="86">
        <f>Q39*Rekenblad!$E$30</f>
        <v>0</v>
      </c>
      <c r="R40" s="87"/>
      <c r="S40" s="86"/>
      <c r="T40" s="87"/>
      <c r="U40" s="86"/>
      <c r="V40" s="205"/>
      <c r="W40" s="200"/>
      <c r="X40" s="87"/>
      <c r="Y40" s="86"/>
      <c r="Z40" s="87"/>
      <c r="AA40" s="86"/>
      <c r="AB40" s="87"/>
      <c r="AC40" s="86"/>
      <c r="AD40" s="87"/>
      <c r="AE40" s="86"/>
      <c r="AF40" s="87"/>
      <c r="AG40" s="86"/>
      <c r="AH40" s="87"/>
      <c r="AI40" s="86"/>
      <c r="AJ40" s="87"/>
      <c r="AK40" s="86"/>
      <c r="AL40" s="87"/>
      <c r="AM40" s="86"/>
      <c r="AN40" s="87"/>
      <c r="AO40" s="86"/>
      <c r="AP40" s="87"/>
      <c r="AQ40" s="86"/>
      <c r="AR40" s="87"/>
      <c r="AS40" s="86"/>
      <c r="AT40" s="87"/>
      <c r="AU40" s="86"/>
      <c r="AV40" s="87"/>
      <c r="AW40" s="86"/>
      <c r="AX40" s="87"/>
      <c r="AY40" s="86"/>
    </row>
    <row r="41" spans="1:51" ht="11.25">
      <c r="A41" s="84">
        <v>50</v>
      </c>
      <c r="B41" s="85">
        <v>20</v>
      </c>
      <c r="C41" s="86">
        <v>30</v>
      </c>
      <c r="D41" s="87">
        <v>35</v>
      </c>
      <c r="E41" s="260">
        <v>35</v>
      </c>
      <c r="F41" s="257">
        <f>IF(Rekenblad!$B$15,35*(1-Rekenblad!$D$29),35)</f>
        <v>35</v>
      </c>
      <c r="G41" s="200">
        <v>35</v>
      </c>
      <c r="H41" s="87">
        <v>35</v>
      </c>
      <c r="I41" s="86">
        <v>35</v>
      </c>
      <c r="J41" s="87">
        <v>35</v>
      </c>
      <c r="K41" s="86">
        <v>35</v>
      </c>
      <c r="L41" s="87">
        <v>35</v>
      </c>
      <c r="M41" s="86">
        <v>35</v>
      </c>
      <c r="N41" s="87">
        <v>35</v>
      </c>
      <c r="O41" s="86">
        <v>35</v>
      </c>
      <c r="P41" s="87">
        <f>P40*Rekenblad!$E$30</f>
        <v>0</v>
      </c>
      <c r="Q41" s="86"/>
      <c r="R41" s="87"/>
      <c r="S41" s="86"/>
      <c r="T41" s="87"/>
      <c r="U41" s="86"/>
      <c r="V41" s="205"/>
      <c r="W41" s="200"/>
      <c r="X41" s="87"/>
      <c r="Y41" s="86"/>
      <c r="Z41" s="87"/>
      <c r="AA41" s="86"/>
      <c r="AB41" s="87"/>
      <c r="AC41" s="86"/>
      <c r="AD41" s="87"/>
      <c r="AE41" s="86"/>
      <c r="AF41" s="87"/>
      <c r="AG41" s="86"/>
      <c r="AH41" s="87"/>
      <c r="AI41" s="86"/>
      <c r="AJ41" s="87"/>
      <c r="AK41" s="86"/>
      <c r="AL41" s="87"/>
      <c r="AM41" s="86"/>
      <c r="AN41" s="87"/>
      <c r="AO41" s="86"/>
      <c r="AP41" s="87"/>
      <c r="AQ41" s="86"/>
      <c r="AR41" s="87"/>
      <c r="AS41" s="86"/>
      <c r="AT41" s="87"/>
      <c r="AU41" s="86"/>
      <c r="AV41" s="87"/>
      <c r="AW41" s="86"/>
      <c r="AX41" s="87"/>
      <c r="AY41" s="86"/>
    </row>
    <row r="42" spans="1:51" ht="11.25">
      <c r="A42" s="84">
        <v>51</v>
      </c>
      <c r="B42" s="85">
        <v>20</v>
      </c>
      <c r="C42" s="86">
        <v>30</v>
      </c>
      <c r="D42" s="262">
        <v>35</v>
      </c>
      <c r="E42" s="257">
        <f>IF(Rekenblad!$B$15,35*(1-Rekenblad!$D$29),35)</f>
        <v>35</v>
      </c>
      <c r="F42" s="80">
        <v>35</v>
      </c>
      <c r="G42" s="86">
        <v>35</v>
      </c>
      <c r="H42" s="87">
        <v>35</v>
      </c>
      <c r="I42" s="86">
        <v>35</v>
      </c>
      <c r="J42" s="87">
        <v>35</v>
      </c>
      <c r="K42" s="86">
        <v>35</v>
      </c>
      <c r="L42" s="87">
        <v>35</v>
      </c>
      <c r="M42" s="86">
        <v>35</v>
      </c>
      <c r="N42" s="87">
        <v>35</v>
      </c>
      <c r="O42" s="86">
        <f>O41*Rekenblad!$E$30</f>
        <v>0</v>
      </c>
      <c r="P42" s="87"/>
      <c r="Q42" s="86"/>
      <c r="R42" s="87"/>
      <c r="S42" s="86"/>
      <c r="T42" s="87"/>
      <c r="U42" s="86"/>
      <c r="V42" s="205"/>
      <c r="W42" s="200"/>
      <c r="X42" s="87"/>
      <c r="Y42" s="86"/>
      <c r="Z42" s="87"/>
      <c r="AA42" s="86"/>
      <c r="AB42" s="87"/>
      <c r="AC42" s="86"/>
      <c r="AD42" s="87"/>
      <c r="AE42" s="86"/>
      <c r="AF42" s="87"/>
      <c r="AG42" s="86"/>
      <c r="AH42" s="87"/>
      <c r="AI42" s="86"/>
      <c r="AJ42" s="87"/>
      <c r="AK42" s="86"/>
      <c r="AL42" s="87"/>
      <c r="AM42" s="86"/>
      <c r="AN42" s="87"/>
      <c r="AO42" s="86"/>
      <c r="AP42" s="87"/>
      <c r="AQ42" s="86"/>
      <c r="AR42" s="87"/>
      <c r="AS42" s="86"/>
      <c r="AT42" s="87"/>
      <c r="AU42" s="86"/>
      <c r="AV42" s="87"/>
      <c r="AW42" s="86"/>
      <c r="AX42" s="87"/>
      <c r="AY42" s="86"/>
    </row>
    <row r="43" spans="1:51" ht="11.25">
      <c r="A43" s="84">
        <v>52</v>
      </c>
      <c r="B43" s="85">
        <v>20</v>
      </c>
      <c r="C43" s="260">
        <v>30</v>
      </c>
      <c r="D43" s="257">
        <f>IF(Rekenblad!$B$15,35*(1-Rekenblad!$D$29),35)</f>
        <v>35</v>
      </c>
      <c r="E43" s="199">
        <v>35</v>
      </c>
      <c r="F43" s="87">
        <v>35</v>
      </c>
      <c r="G43" s="86">
        <v>35</v>
      </c>
      <c r="H43" s="87">
        <v>35</v>
      </c>
      <c r="I43" s="86">
        <v>35</v>
      </c>
      <c r="J43" s="87">
        <v>35</v>
      </c>
      <c r="K43" s="86">
        <v>35</v>
      </c>
      <c r="L43" s="87">
        <v>35</v>
      </c>
      <c r="M43" s="86">
        <v>35</v>
      </c>
      <c r="N43" s="87">
        <f>N42*Rekenblad!$E$30</f>
        <v>0</v>
      </c>
      <c r="O43" s="86"/>
      <c r="P43" s="87"/>
      <c r="Q43" s="86"/>
      <c r="R43" s="87"/>
      <c r="S43" s="86"/>
      <c r="T43" s="87"/>
      <c r="U43" s="86"/>
      <c r="V43" s="205"/>
      <c r="W43" s="200"/>
      <c r="X43" s="87"/>
      <c r="Y43" s="86"/>
      <c r="Z43" s="87"/>
      <c r="AA43" s="86"/>
      <c r="AB43" s="87"/>
      <c r="AC43" s="86"/>
      <c r="AD43" s="87"/>
      <c r="AE43" s="86"/>
      <c r="AF43" s="87"/>
      <c r="AG43" s="86"/>
      <c r="AH43" s="87"/>
      <c r="AI43" s="86"/>
      <c r="AJ43" s="87"/>
      <c r="AK43" s="86"/>
      <c r="AL43" s="87"/>
      <c r="AM43" s="86"/>
      <c r="AN43" s="87"/>
      <c r="AO43" s="86"/>
      <c r="AP43" s="87"/>
      <c r="AQ43" s="86"/>
      <c r="AR43" s="87"/>
      <c r="AS43" s="86"/>
      <c r="AT43" s="87"/>
      <c r="AU43" s="86"/>
      <c r="AV43" s="87"/>
      <c r="AW43" s="86"/>
      <c r="AX43" s="87"/>
      <c r="AY43" s="86"/>
    </row>
    <row r="44" spans="1:51" ht="11.25">
      <c r="A44" s="84">
        <v>53</v>
      </c>
      <c r="B44" s="258">
        <v>20</v>
      </c>
      <c r="C44" s="259">
        <f>IF(Rekenblad!B15,30*(1-Rekenblad!D29),30)</f>
        <v>30</v>
      </c>
      <c r="D44" s="80">
        <v>35</v>
      </c>
      <c r="E44" s="86">
        <v>35</v>
      </c>
      <c r="F44" s="87">
        <v>35</v>
      </c>
      <c r="G44" s="86">
        <v>35</v>
      </c>
      <c r="H44" s="87">
        <v>35</v>
      </c>
      <c r="I44" s="86">
        <v>35</v>
      </c>
      <c r="J44" s="87">
        <v>35</v>
      </c>
      <c r="K44" s="86">
        <v>35</v>
      </c>
      <c r="L44" s="87">
        <v>35</v>
      </c>
      <c r="M44" s="86">
        <f>M43*Rekenblad!$E$30</f>
        <v>0</v>
      </c>
      <c r="N44" s="87"/>
      <c r="O44" s="86"/>
      <c r="P44" s="87"/>
      <c r="Q44" s="86"/>
      <c r="R44" s="87"/>
      <c r="S44" s="86"/>
      <c r="T44" s="87"/>
      <c r="U44" s="86"/>
      <c r="V44" s="205"/>
      <c r="W44" s="200"/>
      <c r="X44" s="87"/>
      <c r="Y44" s="86"/>
      <c r="Z44" s="87"/>
      <c r="AA44" s="86"/>
      <c r="AB44" s="87"/>
      <c r="AC44" s="86"/>
      <c r="AD44" s="87"/>
      <c r="AE44" s="86"/>
      <c r="AF44" s="87"/>
      <c r="AG44" s="86"/>
      <c r="AH44" s="87"/>
      <c r="AI44" s="86"/>
      <c r="AJ44" s="87"/>
      <c r="AK44" s="86"/>
      <c r="AL44" s="87"/>
      <c r="AM44" s="86"/>
      <c r="AN44" s="87"/>
      <c r="AO44" s="86"/>
      <c r="AP44" s="87"/>
      <c r="AQ44" s="86"/>
      <c r="AR44" s="87"/>
      <c r="AS44" s="86"/>
      <c r="AT44" s="87"/>
      <c r="AU44" s="86"/>
      <c r="AV44" s="87"/>
      <c r="AW44" s="86"/>
      <c r="AX44" s="87"/>
      <c r="AY44" s="86"/>
    </row>
    <row r="45" spans="1:51" ht="11.25">
      <c r="A45" s="280">
        <v>54</v>
      </c>
      <c r="B45" s="257">
        <f>IF(Rekenblad!B15,30*(1-Rekenblad!D29),20)</f>
        <v>20</v>
      </c>
      <c r="C45" s="199">
        <v>30</v>
      </c>
      <c r="D45" s="87">
        <v>35</v>
      </c>
      <c r="E45" s="86">
        <v>35</v>
      </c>
      <c r="F45" s="87">
        <v>35</v>
      </c>
      <c r="G45" s="86">
        <v>35</v>
      </c>
      <c r="H45" s="87">
        <v>35</v>
      </c>
      <c r="I45" s="86">
        <v>35</v>
      </c>
      <c r="J45" s="87">
        <v>35</v>
      </c>
      <c r="K45" s="86">
        <v>35</v>
      </c>
      <c r="L45" s="87">
        <f>L44*Rekenblad!$E$30</f>
        <v>0</v>
      </c>
      <c r="M45" s="86"/>
      <c r="N45" s="87"/>
      <c r="O45" s="86"/>
      <c r="P45" s="87"/>
      <c r="Q45" s="86"/>
      <c r="R45" s="87"/>
      <c r="S45" s="86"/>
      <c r="T45" s="87"/>
      <c r="U45" s="86"/>
      <c r="V45" s="205"/>
      <c r="W45" s="200"/>
      <c r="X45" s="87"/>
      <c r="Y45" s="86"/>
      <c r="Z45" s="87"/>
      <c r="AA45" s="86"/>
      <c r="AB45" s="87"/>
      <c r="AC45" s="86"/>
      <c r="AD45" s="87"/>
      <c r="AE45" s="86"/>
      <c r="AF45" s="87"/>
      <c r="AG45" s="86"/>
      <c r="AH45" s="87"/>
      <c r="AI45" s="86"/>
      <c r="AJ45" s="87"/>
      <c r="AK45" s="86"/>
      <c r="AL45" s="87"/>
      <c r="AM45" s="86"/>
      <c r="AN45" s="87"/>
      <c r="AO45" s="86"/>
      <c r="AP45" s="87"/>
      <c r="AQ45" s="86"/>
      <c r="AR45" s="87"/>
      <c r="AS45" s="86"/>
      <c r="AT45" s="87"/>
      <c r="AU45" s="86"/>
      <c r="AV45" s="87"/>
      <c r="AW45" s="86"/>
      <c r="AX45" s="87"/>
      <c r="AY45" s="86"/>
    </row>
    <row r="46" spans="1:51" ht="11.25">
      <c r="A46" s="84">
        <v>55</v>
      </c>
      <c r="B46" s="80">
        <v>20</v>
      </c>
      <c r="C46" s="86">
        <v>30</v>
      </c>
      <c r="D46" s="87">
        <v>35</v>
      </c>
      <c r="E46" s="86">
        <v>35</v>
      </c>
      <c r="F46" s="87">
        <v>35</v>
      </c>
      <c r="G46" s="86">
        <v>35</v>
      </c>
      <c r="H46" s="87">
        <v>35</v>
      </c>
      <c r="I46" s="86">
        <v>35</v>
      </c>
      <c r="J46" s="87">
        <v>35</v>
      </c>
      <c r="K46" s="86">
        <f>K45*Rekenblad!$E$30</f>
        <v>0</v>
      </c>
      <c r="L46" s="87"/>
      <c r="M46" s="86"/>
      <c r="N46" s="87"/>
      <c r="O46" s="86"/>
      <c r="P46" s="87"/>
      <c r="Q46" s="86"/>
      <c r="R46" s="87"/>
      <c r="S46" s="86"/>
      <c r="T46" s="87"/>
      <c r="U46" s="86"/>
      <c r="V46" s="205"/>
      <c r="W46" s="200"/>
      <c r="X46" s="87"/>
      <c r="Y46" s="86"/>
      <c r="Z46" s="87"/>
      <c r="AA46" s="86"/>
      <c r="AB46" s="87"/>
      <c r="AC46" s="86"/>
      <c r="AD46" s="87"/>
      <c r="AE46" s="86"/>
      <c r="AF46" s="87"/>
      <c r="AG46" s="86"/>
      <c r="AH46" s="87"/>
      <c r="AI46" s="86"/>
      <c r="AJ46" s="87"/>
      <c r="AK46" s="86"/>
      <c r="AL46" s="87"/>
      <c r="AM46" s="86"/>
      <c r="AN46" s="87"/>
      <c r="AO46" s="86"/>
      <c r="AP46" s="87"/>
      <c r="AQ46" s="86"/>
      <c r="AR46" s="87"/>
      <c r="AS46" s="86"/>
      <c r="AT46" s="87"/>
      <c r="AU46" s="86"/>
      <c r="AV46" s="87"/>
      <c r="AW46" s="86"/>
      <c r="AX46" s="87"/>
      <c r="AY46" s="86"/>
    </row>
    <row r="47" spans="1:51" ht="11.25">
      <c r="A47" s="84">
        <v>56</v>
      </c>
      <c r="B47" s="85">
        <v>20</v>
      </c>
      <c r="C47" s="86">
        <v>30</v>
      </c>
      <c r="D47" s="87">
        <v>35</v>
      </c>
      <c r="E47" s="86">
        <v>35</v>
      </c>
      <c r="F47" s="87">
        <v>35</v>
      </c>
      <c r="G47" s="86">
        <v>35</v>
      </c>
      <c r="H47" s="87">
        <v>35</v>
      </c>
      <c r="I47" s="86">
        <v>35</v>
      </c>
      <c r="J47" s="87">
        <f>J46*Rekenblad!$E$30</f>
        <v>0</v>
      </c>
      <c r="K47" s="86"/>
      <c r="L47" s="87"/>
      <c r="M47" s="86"/>
      <c r="N47" s="87"/>
      <c r="O47" s="86"/>
      <c r="P47" s="87"/>
      <c r="Q47" s="86"/>
      <c r="R47" s="87"/>
      <c r="S47" s="86"/>
      <c r="T47" s="87"/>
      <c r="U47" s="86"/>
      <c r="V47" s="205"/>
      <c r="W47" s="200"/>
      <c r="X47" s="87"/>
      <c r="Y47" s="86"/>
      <c r="Z47" s="87"/>
      <c r="AA47" s="86"/>
      <c r="AB47" s="87"/>
      <c r="AC47" s="86"/>
      <c r="AD47" s="87"/>
      <c r="AE47" s="86"/>
      <c r="AF47" s="87"/>
      <c r="AG47" s="86"/>
      <c r="AH47" s="87"/>
      <c r="AI47" s="86"/>
      <c r="AJ47" s="87"/>
      <c r="AK47" s="86"/>
      <c r="AL47" s="87"/>
      <c r="AM47" s="86"/>
      <c r="AN47" s="87"/>
      <c r="AO47" s="86"/>
      <c r="AP47" s="87"/>
      <c r="AQ47" s="86"/>
      <c r="AR47" s="87"/>
      <c r="AS47" s="86"/>
      <c r="AT47" s="87"/>
      <c r="AU47" s="86"/>
      <c r="AV47" s="87"/>
      <c r="AW47" s="86"/>
      <c r="AX47" s="87"/>
      <c r="AY47" s="86"/>
    </row>
    <row r="48" spans="1:51" ht="11.25">
      <c r="A48" s="84">
        <v>57</v>
      </c>
      <c r="B48" s="85">
        <v>20</v>
      </c>
      <c r="C48" s="86">
        <v>30</v>
      </c>
      <c r="D48" s="87">
        <v>35</v>
      </c>
      <c r="E48" s="86">
        <v>35</v>
      </c>
      <c r="F48" s="87">
        <v>35</v>
      </c>
      <c r="G48" s="86">
        <v>35</v>
      </c>
      <c r="H48" s="87">
        <v>35</v>
      </c>
      <c r="I48" s="86">
        <f>I47*Rekenblad!$E$30</f>
        <v>0</v>
      </c>
      <c r="J48" s="87"/>
      <c r="K48" s="86"/>
      <c r="L48" s="87"/>
      <c r="M48" s="86"/>
      <c r="N48" s="87"/>
      <c r="O48" s="86"/>
      <c r="P48" s="87"/>
      <c r="Q48" s="86"/>
      <c r="R48" s="87"/>
      <c r="S48" s="86"/>
      <c r="T48" s="87"/>
      <c r="U48" s="86"/>
      <c r="V48" s="205"/>
      <c r="W48" s="200"/>
      <c r="X48" s="87"/>
      <c r="Y48" s="86"/>
      <c r="Z48" s="87"/>
      <c r="AA48" s="86"/>
      <c r="AB48" s="87"/>
      <c r="AC48" s="86"/>
      <c r="AD48" s="87"/>
      <c r="AE48" s="86"/>
      <c r="AF48" s="87"/>
      <c r="AG48" s="86"/>
      <c r="AH48" s="87"/>
      <c r="AI48" s="86"/>
      <c r="AJ48" s="87"/>
      <c r="AK48" s="86"/>
      <c r="AL48" s="87"/>
      <c r="AM48" s="86"/>
      <c r="AN48" s="87"/>
      <c r="AO48" s="86"/>
      <c r="AP48" s="87"/>
      <c r="AQ48" s="86"/>
      <c r="AR48" s="87"/>
      <c r="AS48" s="86"/>
      <c r="AT48" s="87"/>
      <c r="AU48" s="86"/>
      <c r="AV48" s="87"/>
      <c r="AW48" s="86"/>
      <c r="AX48" s="87"/>
      <c r="AY48" s="86"/>
    </row>
    <row r="49" spans="1:51" ht="11.25">
      <c r="A49" s="84">
        <v>58</v>
      </c>
      <c r="B49" s="85">
        <v>20</v>
      </c>
      <c r="C49" s="86">
        <v>30</v>
      </c>
      <c r="D49" s="87">
        <v>35</v>
      </c>
      <c r="E49" s="86">
        <v>35</v>
      </c>
      <c r="F49" s="87">
        <v>35</v>
      </c>
      <c r="G49" s="86">
        <v>35</v>
      </c>
      <c r="H49" s="87">
        <f>H48*Rekenblad!$E$30</f>
        <v>0</v>
      </c>
      <c r="I49" s="86"/>
      <c r="J49" s="87"/>
      <c r="K49" s="86"/>
      <c r="L49" s="87"/>
      <c r="M49" s="86"/>
      <c r="N49" s="87"/>
      <c r="O49" s="86"/>
      <c r="P49" s="87"/>
      <c r="Q49" s="86"/>
      <c r="R49" s="87"/>
      <c r="S49" s="86"/>
      <c r="T49" s="87"/>
      <c r="U49" s="86"/>
      <c r="V49" s="205"/>
      <c r="W49" s="200"/>
      <c r="X49" s="87"/>
      <c r="Y49" s="86"/>
      <c r="Z49" s="87"/>
      <c r="AA49" s="86"/>
      <c r="AB49" s="87"/>
      <c r="AC49" s="86"/>
      <c r="AD49" s="87"/>
      <c r="AE49" s="86"/>
      <c r="AF49" s="87"/>
      <c r="AG49" s="86"/>
      <c r="AH49" s="87"/>
      <c r="AI49" s="86"/>
      <c r="AJ49" s="87"/>
      <c r="AK49" s="86"/>
      <c r="AL49" s="87"/>
      <c r="AM49" s="86"/>
      <c r="AN49" s="87"/>
      <c r="AO49" s="86"/>
      <c r="AP49" s="87"/>
      <c r="AQ49" s="86"/>
      <c r="AR49" s="87"/>
      <c r="AS49" s="86"/>
      <c r="AT49" s="87"/>
      <c r="AU49" s="86"/>
      <c r="AV49" s="87"/>
      <c r="AW49" s="86"/>
      <c r="AX49" s="87"/>
      <c r="AY49" s="86"/>
    </row>
    <row r="50" spans="1:51" ht="11.25">
      <c r="A50" s="84">
        <v>59</v>
      </c>
      <c r="B50" s="85">
        <v>20</v>
      </c>
      <c r="C50" s="86">
        <v>30</v>
      </c>
      <c r="D50" s="87">
        <v>35</v>
      </c>
      <c r="E50" s="86">
        <v>35</v>
      </c>
      <c r="F50" s="87">
        <v>35</v>
      </c>
      <c r="G50" s="86">
        <f>G49*Rekenblad!$E$30</f>
        <v>0</v>
      </c>
      <c r="H50" s="87"/>
      <c r="I50" s="86"/>
      <c r="J50" s="87"/>
      <c r="K50" s="86"/>
      <c r="L50" s="87"/>
      <c r="M50" s="86"/>
      <c r="N50" s="87"/>
      <c r="O50" s="86"/>
      <c r="P50" s="87"/>
      <c r="Q50" s="86"/>
      <c r="R50" s="87"/>
      <c r="S50" s="86"/>
      <c r="T50" s="87"/>
      <c r="U50" s="86"/>
      <c r="V50" s="205"/>
      <c r="W50" s="200"/>
      <c r="X50" s="87"/>
      <c r="Y50" s="86"/>
      <c r="Z50" s="87"/>
      <c r="AA50" s="86"/>
      <c r="AB50" s="87"/>
      <c r="AC50" s="86"/>
      <c r="AD50" s="87"/>
      <c r="AE50" s="86"/>
      <c r="AF50" s="87"/>
      <c r="AG50" s="86"/>
      <c r="AH50" s="87"/>
      <c r="AI50" s="86"/>
      <c r="AJ50" s="87"/>
      <c r="AK50" s="86"/>
      <c r="AL50" s="87"/>
      <c r="AM50" s="86"/>
      <c r="AN50" s="87"/>
      <c r="AO50" s="86"/>
      <c r="AP50" s="87"/>
      <c r="AQ50" s="86"/>
      <c r="AR50" s="87"/>
      <c r="AS50" s="86"/>
      <c r="AT50" s="87"/>
      <c r="AU50" s="86"/>
      <c r="AV50" s="87"/>
      <c r="AW50" s="86"/>
      <c r="AX50" s="87"/>
      <c r="AY50" s="86"/>
    </row>
    <row r="51" spans="1:51" ht="11.25">
      <c r="A51" s="84">
        <v>60</v>
      </c>
      <c r="B51" s="85">
        <v>20</v>
      </c>
      <c r="C51" s="86">
        <v>30</v>
      </c>
      <c r="D51" s="87">
        <v>35</v>
      </c>
      <c r="E51" s="86">
        <v>35</v>
      </c>
      <c r="F51" s="87">
        <f>F50*Rekenblad!$E$30</f>
        <v>0</v>
      </c>
      <c r="G51" s="86"/>
      <c r="H51" s="87"/>
      <c r="I51" s="86"/>
      <c r="J51" s="87"/>
      <c r="K51" s="86"/>
      <c r="L51" s="87"/>
      <c r="M51" s="86"/>
      <c r="N51" s="87"/>
      <c r="O51" s="86"/>
      <c r="P51" s="87"/>
      <c r="Q51" s="86"/>
      <c r="R51" s="87"/>
      <c r="S51" s="86"/>
      <c r="T51" s="87"/>
      <c r="U51" s="86"/>
      <c r="V51" s="205"/>
      <c r="W51" s="200"/>
      <c r="X51" s="87"/>
      <c r="Y51" s="86"/>
      <c r="Z51" s="87"/>
      <c r="AA51" s="86"/>
      <c r="AB51" s="87"/>
      <c r="AC51" s="86"/>
      <c r="AD51" s="87"/>
      <c r="AE51" s="86"/>
      <c r="AF51" s="87"/>
      <c r="AG51" s="86"/>
      <c r="AH51" s="87"/>
      <c r="AI51" s="86"/>
      <c r="AJ51" s="87"/>
      <c r="AK51" s="86"/>
      <c r="AL51" s="87"/>
      <c r="AM51" s="86"/>
      <c r="AN51" s="87"/>
      <c r="AO51" s="86"/>
      <c r="AP51" s="87"/>
      <c r="AQ51" s="86"/>
      <c r="AR51" s="87"/>
      <c r="AS51" s="86"/>
      <c r="AT51" s="87"/>
      <c r="AU51" s="86"/>
      <c r="AV51" s="87"/>
      <c r="AW51" s="86"/>
      <c r="AX51" s="87"/>
      <c r="AY51" s="86"/>
    </row>
    <row r="52" spans="1:51" ht="11.25">
      <c r="A52" s="84">
        <v>61</v>
      </c>
      <c r="B52" s="85">
        <v>20</v>
      </c>
      <c r="C52" s="86">
        <v>30</v>
      </c>
      <c r="D52" s="87">
        <v>35</v>
      </c>
      <c r="E52" s="86">
        <f>E51*Rekenblad!$E$30</f>
        <v>0</v>
      </c>
      <c r="F52" s="87"/>
      <c r="G52" s="86"/>
      <c r="H52" s="87"/>
      <c r="I52" s="86"/>
      <c r="J52" s="87"/>
      <c r="K52" s="86"/>
      <c r="L52" s="87"/>
      <c r="M52" s="86"/>
      <c r="N52" s="87"/>
      <c r="O52" s="86"/>
      <c r="P52" s="87"/>
      <c r="Q52" s="86"/>
      <c r="R52" s="87"/>
      <c r="S52" s="86"/>
      <c r="T52" s="87"/>
      <c r="U52" s="86"/>
      <c r="V52" s="205"/>
      <c r="W52" s="200"/>
      <c r="X52" s="87"/>
      <c r="Y52" s="86"/>
      <c r="Z52" s="87"/>
      <c r="AA52" s="86"/>
      <c r="AB52" s="87"/>
      <c r="AC52" s="86"/>
      <c r="AD52" s="87"/>
      <c r="AE52" s="86"/>
      <c r="AF52" s="87"/>
      <c r="AG52" s="86"/>
      <c r="AH52" s="87"/>
      <c r="AI52" s="86"/>
      <c r="AJ52" s="87"/>
      <c r="AK52" s="86"/>
      <c r="AL52" s="87"/>
      <c r="AM52" s="86"/>
      <c r="AN52" s="87"/>
      <c r="AO52" s="86"/>
      <c r="AP52" s="87"/>
      <c r="AQ52" s="86"/>
      <c r="AR52" s="87"/>
      <c r="AS52" s="86"/>
      <c r="AT52" s="87"/>
      <c r="AU52" s="86"/>
      <c r="AV52" s="87"/>
      <c r="AW52" s="86"/>
      <c r="AX52" s="87"/>
      <c r="AY52" s="86"/>
    </row>
    <row r="53" spans="1:51" ht="11.25">
      <c r="A53" s="84">
        <v>62</v>
      </c>
      <c r="B53" s="85">
        <v>20</v>
      </c>
      <c r="C53" s="86">
        <v>30</v>
      </c>
      <c r="D53" s="87">
        <f>D52*Rekenblad!$E$30</f>
        <v>0</v>
      </c>
      <c r="E53" s="86"/>
      <c r="F53" s="87"/>
      <c r="G53" s="86"/>
      <c r="H53" s="87"/>
      <c r="I53" s="86"/>
      <c r="J53" s="87"/>
      <c r="K53" s="86"/>
      <c r="L53" s="87"/>
      <c r="M53" s="86"/>
      <c r="N53" s="87"/>
      <c r="O53" s="86"/>
      <c r="P53" s="87"/>
      <c r="Q53" s="86"/>
      <c r="R53" s="87"/>
      <c r="S53" s="86"/>
      <c r="T53" s="87"/>
      <c r="U53" s="86"/>
      <c r="V53" s="205"/>
      <c r="W53" s="200"/>
      <c r="X53" s="87"/>
      <c r="Y53" s="86"/>
      <c r="Z53" s="87"/>
      <c r="AA53" s="86"/>
      <c r="AB53" s="87"/>
      <c r="AC53" s="86"/>
      <c r="AD53" s="87"/>
      <c r="AE53" s="86"/>
      <c r="AF53" s="87"/>
      <c r="AG53" s="86"/>
      <c r="AH53" s="87"/>
      <c r="AI53" s="86"/>
      <c r="AJ53" s="87"/>
      <c r="AK53" s="86"/>
      <c r="AL53" s="87"/>
      <c r="AM53" s="86"/>
      <c r="AN53" s="87"/>
      <c r="AO53" s="86"/>
      <c r="AP53" s="87"/>
      <c r="AQ53" s="86"/>
      <c r="AR53" s="87"/>
      <c r="AS53" s="86"/>
      <c r="AT53" s="87"/>
      <c r="AU53" s="86"/>
      <c r="AV53" s="87"/>
      <c r="AW53" s="86"/>
      <c r="AX53" s="87"/>
      <c r="AY53" s="86"/>
    </row>
    <row r="54" spans="1:51" ht="11.25">
      <c r="A54" s="84">
        <v>63</v>
      </c>
      <c r="B54" s="85">
        <v>20</v>
      </c>
      <c r="C54" s="86">
        <f>C53*Rekenblad!$E$30</f>
        <v>0</v>
      </c>
      <c r="D54" s="87"/>
      <c r="E54" s="86"/>
      <c r="F54" s="87"/>
      <c r="G54" s="86"/>
      <c r="H54" s="87"/>
      <c r="I54" s="86"/>
      <c r="J54" s="87"/>
      <c r="K54" s="86"/>
      <c r="L54" s="87"/>
      <c r="M54" s="86"/>
      <c r="N54" s="87"/>
      <c r="O54" s="86"/>
      <c r="P54" s="87"/>
      <c r="Q54" s="86"/>
      <c r="R54" s="87"/>
      <c r="S54" s="86"/>
      <c r="T54" s="87"/>
      <c r="U54" s="86"/>
      <c r="V54" s="205"/>
      <c r="W54" s="200"/>
      <c r="X54" s="87"/>
      <c r="Y54" s="86"/>
      <c r="Z54" s="87"/>
      <c r="AA54" s="86"/>
      <c r="AB54" s="87"/>
      <c r="AC54" s="86"/>
      <c r="AD54" s="87"/>
      <c r="AE54" s="86"/>
      <c r="AF54" s="87"/>
      <c r="AG54" s="86"/>
      <c r="AH54" s="87"/>
      <c r="AI54" s="86"/>
      <c r="AJ54" s="87"/>
      <c r="AK54" s="86"/>
      <c r="AL54" s="87"/>
      <c r="AM54" s="86"/>
      <c r="AN54" s="87"/>
      <c r="AO54" s="86"/>
      <c r="AP54" s="87"/>
      <c r="AQ54" s="86"/>
      <c r="AR54" s="87"/>
      <c r="AS54" s="86"/>
      <c r="AT54" s="87"/>
      <c r="AU54" s="86"/>
      <c r="AV54" s="87"/>
      <c r="AW54" s="86"/>
      <c r="AX54" s="87"/>
      <c r="AY54" s="86"/>
    </row>
    <row r="55" spans="1:51" ht="11.25">
      <c r="A55" s="88">
        <v>64</v>
      </c>
      <c r="B55" s="89">
        <f>B54*Rekenblad!$E$30</f>
        <v>0</v>
      </c>
      <c r="C55" s="90"/>
      <c r="D55" s="91"/>
      <c r="E55" s="90"/>
      <c r="F55" s="91"/>
      <c r="G55" s="90"/>
      <c r="H55" s="91"/>
      <c r="I55" s="90"/>
      <c r="J55" s="91"/>
      <c r="K55" s="90"/>
      <c r="L55" s="91"/>
      <c r="M55" s="90"/>
      <c r="N55" s="91"/>
      <c r="O55" s="90"/>
      <c r="P55" s="91"/>
      <c r="Q55" s="90"/>
      <c r="R55" s="91"/>
      <c r="S55" s="90"/>
      <c r="T55" s="91"/>
      <c r="U55" s="90"/>
      <c r="V55" s="206"/>
      <c r="W55" s="201"/>
      <c r="X55" s="91"/>
      <c r="Y55" s="90"/>
      <c r="Z55" s="91"/>
      <c r="AA55" s="90"/>
      <c r="AB55" s="91"/>
      <c r="AC55" s="90"/>
      <c r="AD55" s="91"/>
      <c r="AE55" s="90"/>
      <c r="AF55" s="91"/>
      <c r="AG55" s="90"/>
      <c r="AH55" s="91"/>
      <c r="AI55" s="90"/>
      <c r="AJ55" s="91"/>
      <c r="AK55" s="90"/>
      <c r="AL55" s="91"/>
      <c r="AM55" s="90"/>
      <c r="AN55" s="91"/>
      <c r="AO55" s="90"/>
      <c r="AP55" s="91"/>
      <c r="AQ55" s="90"/>
      <c r="AR55" s="91"/>
      <c r="AS55" s="90"/>
      <c r="AT55" s="91"/>
      <c r="AU55" s="90"/>
      <c r="AV55" s="91"/>
      <c r="AW55" s="90"/>
      <c r="AX55" s="91"/>
      <c r="AY55" s="90"/>
    </row>
    <row r="56" spans="24:50" ht="11.25">
      <c r="X56" s="92"/>
      <c r="Z56" s="92"/>
      <c r="AB56" s="92"/>
      <c r="AD56" s="92"/>
      <c r="AF56" s="92"/>
      <c r="AH56" s="92"/>
      <c r="AJ56" s="92"/>
      <c r="AL56" s="92"/>
      <c r="AN56" s="92"/>
      <c r="AP56" s="92"/>
      <c r="AR56" s="92"/>
      <c r="AT56" s="92"/>
      <c r="AV56" s="92"/>
      <c r="AX56" s="92"/>
    </row>
  </sheetData>
  <sheetProtection password="DCBC"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Blad8"/>
  <dimension ref="A2:V56"/>
  <sheetViews>
    <sheetView showRowColHeaders="0" workbookViewId="0" topLeftCell="A9">
      <selection activeCell="F51" sqref="F51"/>
    </sheetView>
  </sheetViews>
  <sheetFormatPr defaultColWidth="9.00390625" defaultRowHeight="11.25"/>
  <cols>
    <col min="1" max="1" width="10.75390625" style="83" customWidth="1"/>
    <col min="2" max="16384" width="9.00390625" style="83" customWidth="1"/>
  </cols>
  <sheetData>
    <row r="1" s="74" customFormat="1" ht="11.25"/>
    <row r="2" s="74" customFormat="1" ht="12.75">
      <c r="B2" s="75" t="s">
        <v>127</v>
      </c>
    </row>
    <row r="3" spans="2:3" s="74" customFormat="1" ht="11.25">
      <c r="B3" s="76" t="s">
        <v>55</v>
      </c>
      <c r="C3" s="76">
        <v>2010</v>
      </c>
    </row>
    <row r="4" s="74" customFormat="1" ht="11.25"/>
    <row r="5" spans="1:22" s="74" customFormat="1" ht="39.75" customHeight="1">
      <c r="A5" s="77" t="s">
        <v>56</v>
      </c>
      <c r="B5" s="78">
        <v>2010</v>
      </c>
      <c r="C5" s="78">
        <v>2011</v>
      </c>
      <c r="D5" s="78">
        <v>2012</v>
      </c>
      <c r="E5" s="78">
        <v>2013</v>
      </c>
      <c r="F5" s="78">
        <v>2014</v>
      </c>
      <c r="G5" s="78">
        <v>2015</v>
      </c>
      <c r="H5" s="78">
        <v>2016</v>
      </c>
      <c r="I5" s="78">
        <v>2017</v>
      </c>
      <c r="J5" s="78">
        <v>2018</v>
      </c>
      <c r="K5" s="78">
        <v>2019</v>
      </c>
      <c r="L5" s="78">
        <v>2020</v>
      </c>
      <c r="M5" s="78">
        <v>2021</v>
      </c>
      <c r="N5" s="78">
        <v>2022</v>
      </c>
      <c r="O5" s="78">
        <v>2023</v>
      </c>
      <c r="P5" s="78">
        <v>2024</v>
      </c>
      <c r="Q5" s="78">
        <v>2025</v>
      </c>
      <c r="R5" s="78">
        <v>2026</v>
      </c>
      <c r="S5" s="78">
        <v>2027</v>
      </c>
      <c r="T5" s="78">
        <v>2028</v>
      </c>
      <c r="U5" s="78">
        <v>2029</v>
      </c>
      <c r="V5" s="78">
        <v>2030</v>
      </c>
    </row>
    <row r="6" spans="1:22" ht="11.25">
      <c r="A6" s="79">
        <v>15</v>
      </c>
      <c r="B6" s="80">
        <v>0</v>
      </c>
      <c r="C6" s="81">
        <v>0</v>
      </c>
      <c r="D6" s="82">
        <v>0</v>
      </c>
      <c r="E6" s="81">
        <v>0</v>
      </c>
      <c r="F6" s="82">
        <v>0</v>
      </c>
      <c r="G6" s="81">
        <v>0</v>
      </c>
      <c r="H6" s="82">
        <v>0</v>
      </c>
      <c r="I6" s="81">
        <v>0</v>
      </c>
      <c r="J6" s="82">
        <v>0</v>
      </c>
      <c r="K6" s="81">
        <v>0</v>
      </c>
      <c r="L6" s="82">
        <v>0</v>
      </c>
      <c r="M6" s="81">
        <v>0</v>
      </c>
      <c r="N6" s="82">
        <v>0</v>
      </c>
      <c r="O6" s="81">
        <v>0</v>
      </c>
      <c r="P6" s="82">
        <v>0</v>
      </c>
      <c r="Q6" s="81">
        <v>0</v>
      </c>
      <c r="R6" s="82">
        <v>0</v>
      </c>
      <c r="S6" s="81">
        <v>0</v>
      </c>
      <c r="T6" s="82">
        <v>0</v>
      </c>
      <c r="U6" s="81">
        <v>0</v>
      </c>
      <c r="V6" s="82">
        <v>0</v>
      </c>
    </row>
    <row r="7" spans="1:22" ht="11.25">
      <c r="A7" s="84">
        <v>16</v>
      </c>
      <c r="B7" s="85">
        <v>0</v>
      </c>
      <c r="C7" s="86">
        <v>0</v>
      </c>
      <c r="D7" s="87">
        <v>0</v>
      </c>
      <c r="E7" s="86">
        <v>0</v>
      </c>
      <c r="F7" s="87">
        <v>0</v>
      </c>
      <c r="G7" s="86">
        <v>0</v>
      </c>
      <c r="H7" s="87">
        <v>0</v>
      </c>
      <c r="I7" s="86">
        <v>0</v>
      </c>
      <c r="J7" s="87">
        <v>0</v>
      </c>
      <c r="K7" s="86">
        <v>0</v>
      </c>
      <c r="L7" s="87">
        <v>0</v>
      </c>
      <c r="M7" s="86">
        <v>0</v>
      </c>
      <c r="N7" s="87">
        <v>0</v>
      </c>
      <c r="O7" s="86">
        <v>0</v>
      </c>
      <c r="P7" s="87">
        <v>0</v>
      </c>
      <c r="Q7" s="86">
        <v>0</v>
      </c>
      <c r="R7" s="87">
        <v>0</v>
      </c>
      <c r="S7" s="86">
        <v>0</v>
      </c>
      <c r="T7" s="87">
        <v>0</v>
      </c>
      <c r="U7" s="86">
        <v>0</v>
      </c>
      <c r="V7" s="87">
        <v>0</v>
      </c>
    </row>
    <row r="8" spans="1:22" ht="11.25">
      <c r="A8" s="84">
        <v>17</v>
      </c>
      <c r="B8" s="85">
        <v>0</v>
      </c>
      <c r="C8" s="86">
        <v>0</v>
      </c>
      <c r="D8" s="87">
        <v>0</v>
      </c>
      <c r="E8" s="86">
        <v>0</v>
      </c>
      <c r="F8" s="87">
        <v>0</v>
      </c>
      <c r="G8" s="86">
        <v>0</v>
      </c>
      <c r="H8" s="87">
        <v>0</v>
      </c>
      <c r="I8" s="86">
        <v>0</v>
      </c>
      <c r="J8" s="87">
        <v>0</v>
      </c>
      <c r="K8" s="86">
        <v>0</v>
      </c>
      <c r="L8" s="87">
        <v>0</v>
      </c>
      <c r="M8" s="86">
        <v>0</v>
      </c>
      <c r="N8" s="87">
        <v>0</v>
      </c>
      <c r="O8" s="86">
        <v>0</v>
      </c>
      <c r="P8" s="87">
        <v>0</v>
      </c>
      <c r="Q8" s="86">
        <v>0</v>
      </c>
      <c r="R8" s="87">
        <v>0</v>
      </c>
      <c r="S8" s="86">
        <v>0</v>
      </c>
      <c r="T8" s="87">
        <v>0</v>
      </c>
      <c r="U8" s="86">
        <v>0</v>
      </c>
      <c r="V8" s="87">
        <v>0</v>
      </c>
    </row>
    <row r="9" spans="1:22" ht="11.25">
      <c r="A9" s="84">
        <v>18</v>
      </c>
      <c r="B9" s="85">
        <v>0</v>
      </c>
      <c r="C9" s="86">
        <v>0</v>
      </c>
      <c r="D9" s="87">
        <v>0</v>
      </c>
      <c r="E9" s="86">
        <v>0</v>
      </c>
      <c r="F9" s="87">
        <v>0</v>
      </c>
      <c r="G9" s="86">
        <v>0</v>
      </c>
      <c r="H9" s="87">
        <v>0</v>
      </c>
      <c r="I9" s="86">
        <v>0</v>
      </c>
      <c r="J9" s="87">
        <v>0</v>
      </c>
      <c r="K9" s="86">
        <v>0</v>
      </c>
      <c r="L9" s="87">
        <v>0</v>
      </c>
      <c r="M9" s="86">
        <v>0</v>
      </c>
      <c r="N9" s="87">
        <v>0</v>
      </c>
      <c r="O9" s="86">
        <v>0</v>
      </c>
      <c r="P9" s="87">
        <v>0</v>
      </c>
      <c r="Q9" s="86">
        <v>0</v>
      </c>
      <c r="R9" s="87">
        <v>0</v>
      </c>
      <c r="S9" s="86">
        <v>0</v>
      </c>
      <c r="T9" s="87">
        <v>0</v>
      </c>
      <c r="U9" s="86">
        <v>0</v>
      </c>
      <c r="V9" s="87">
        <v>0</v>
      </c>
    </row>
    <row r="10" spans="1:22" ht="11.25">
      <c r="A10" s="84">
        <v>19</v>
      </c>
      <c r="B10" s="85">
        <v>0</v>
      </c>
      <c r="C10" s="86">
        <v>0</v>
      </c>
      <c r="D10" s="87">
        <v>0</v>
      </c>
      <c r="E10" s="86">
        <v>0</v>
      </c>
      <c r="F10" s="87">
        <v>0</v>
      </c>
      <c r="G10" s="86">
        <v>0</v>
      </c>
      <c r="H10" s="87">
        <v>0</v>
      </c>
      <c r="I10" s="86">
        <v>0</v>
      </c>
      <c r="J10" s="87">
        <v>0</v>
      </c>
      <c r="K10" s="86">
        <v>0</v>
      </c>
      <c r="L10" s="87">
        <v>0</v>
      </c>
      <c r="M10" s="86">
        <v>0</v>
      </c>
      <c r="N10" s="87">
        <v>0</v>
      </c>
      <c r="O10" s="86">
        <v>0</v>
      </c>
      <c r="P10" s="87">
        <v>0</v>
      </c>
      <c r="Q10" s="86">
        <v>0</v>
      </c>
      <c r="R10" s="87">
        <v>0</v>
      </c>
      <c r="S10" s="86">
        <v>0</v>
      </c>
      <c r="T10" s="87">
        <v>0</v>
      </c>
      <c r="U10" s="86">
        <v>0</v>
      </c>
      <c r="V10" s="87">
        <v>0</v>
      </c>
    </row>
    <row r="11" spans="1:22" ht="11.25">
      <c r="A11" s="84">
        <v>20</v>
      </c>
      <c r="B11" s="85">
        <v>0</v>
      </c>
      <c r="C11" s="86">
        <v>0</v>
      </c>
      <c r="D11" s="87">
        <v>0</v>
      </c>
      <c r="E11" s="86">
        <v>0</v>
      </c>
      <c r="F11" s="87">
        <v>0</v>
      </c>
      <c r="G11" s="86">
        <v>0</v>
      </c>
      <c r="H11" s="87">
        <v>0</v>
      </c>
      <c r="I11" s="86">
        <v>0</v>
      </c>
      <c r="J11" s="87">
        <v>0</v>
      </c>
      <c r="K11" s="86">
        <v>0</v>
      </c>
      <c r="L11" s="87">
        <v>0</v>
      </c>
      <c r="M11" s="86">
        <v>0</v>
      </c>
      <c r="N11" s="87">
        <v>0</v>
      </c>
      <c r="O11" s="86">
        <v>0</v>
      </c>
      <c r="P11" s="87">
        <v>0</v>
      </c>
      <c r="Q11" s="86">
        <v>0</v>
      </c>
      <c r="R11" s="87">
        <v>0</v>
      </c>
      <c r="S11" s="86">
        <v>0</v>
      </c>
      <c r="T11" s="87">
        <v>0</v>
      </c>
      <c r="U11" s="86">
        <v>0</v>
      </c>
      <c r="V11" s="87">
        <v>0</v>
      </c>
    </row>
    <row r="12" spans="1:22" ht="11.25">
      <c r="A12" s="84">
        <v>21</v>
      </c>
      <c r="B12" s="85">
        <v>0</v>
      </c>
      <c r="C12" s="86">
        <v>0</v>
      </c>
      <c r="D12" s="87">
        <v>0</v>
      </c>
      <c r="E12" s="86">
        <v>0</v>
      </c>
      <c r="F12" s="87">
        <v>0</v>
      </c>
      <c r="G12" s="86">
        <v>0</v>
      </c>
      <c r="H12" s="87">
        <v>0</v>
      </c>
      <c r="I12" s="86">
        <v>0</v>
      </c>
      <c r="J12" s="87">
        <v>0</v>
      </c>
      <c r="K12" s="86">
        <v>0</v>
      </c>
      <c r="L12" s="87">
        <v>0</v>
      </c>
      <c r="M12" s="86">
        <v>0</v>
      </c>
      <c r="N12" s="87">
        <v>0</v>
      </c>
      <c r="O12" s="86">
        <v>0</v>
      </c>
      <c r="P12" s="87">
        <v>0</v>
      </c>
      <c r="Q12" s="86">
        <v>0</v>
      </c>
      <c r="R12" s="87">
        <v>0</v>
      </c>
      <c r="S12" s="86">
        <v>0</v>
      </c>
      <c r="T12" s="87">
        <v>0</v>
      </c>
      <c r="U12" s="86">
        <v>0</v>
      </c>
      <c r="V12" s="87">
        <v>0</v>
      </c>
    </row>
    <row r="13" spans="1:22" ht="11.25">
      <c r="A13" s="84">
        <v>22</v>
      </c>
      <c r="B13" s="85">
        <v>0</v>
      </c>
      <c r="C13" s="86">
        <v>0</v>
      </c>
      <c r="D13" s="87">
        <v>0</v>
      </c>
      <c r="E13" s="86">
        <v>0</v>
      </c>
      <c r="F13" s="87">
        <v>0</v>
      </c>
      <c r="G13" s="86">
        <v>0</v>
      </c>
      <c r="H13" s="87">
        <v>0</v>
      </c>
      <c r="I13" s="86">
        <v>0</v>
      </c>
      <c r="J13" s="87">
        <v>0</v>
      </c>
      <c r="K13" s="86">
        <v>0</v>
      </c>
      <c r="L13" s="87">
        <v>0</v>
      </c>
      <c r="M13" s="86">
        <v>0</v>
      </c>
      <c r="N13" s="87">
        <v>0</v>
      </c>
      <c r="O13" s="86">
        <v>0</v>
      </c>
      <c r="P13" s="87">
        <v>0</v>
      </c>
      <c r="Q13" s="86">
        <v>0</v>
      </c>
      <c r="R13" s="87">
        <v>0</v>
      </c>
      <c r="S13" s="86">
        <v>0</v>
      </c>
      <c r="T13" s="87">
        <v>0</v>
      </c>
      <c r="U13" s="86">
        <v>0</v>
      </c>
      <c r="V13" s="87">
        <v>0</v>
      </c>
    </row>
    <row r="14" spans="1:22" ht="11.25">
      <c r="A14" s="84">
        <v>23</v>
      </c>
      <c r="B14" s="85">
        <v>0</v>
      </c>
      <c r="C14" s="86">
        <v>0</v>
      </c>
      <c r="D14" s="87">
        <v>0</v>
      </c>
      <c r="E14" s="86">
        <v>0</v>
      </c>
      <c r="F14" s="87">
        <v>0</v>
      </c>
      <c r="G14" s="86">
        <v>0</v>
      </c>
      <c r="H14" s="87">
        <v>0</v>
      </c>
      <c r="I14" s="86">
        <v>0</v>
      </c>
      <c r="J14" s="87">
        <v>0</v>
      </c>
      <c r="K14" s="86">
        <v>0</v>
      </c>
      <c r="L14" s="87">
        <v>0</v>
      </c>
      <c r="M14" s="86">
        <v>0</v>
      </c>
      <c r="N14" s="87">
        <v>0</v>
      </c>
      <c r="O14" s="86">
        <v>0</v>
      </c>
      <c r="P14" s="87">
        <v>0</v>
      </c>
      <c r="Q14" s="86">
        <v>0</v>
      </c>
      <c r="R14" s="87">
        <v>0</v>
      </c>
      <c r="S14" s="86">
        <v>0</v>
      </c>
      <c r="T14" s="87">
        <v>0</v>
      </c>
      <c r="U14" s="86">
        <v>0</v>
      </c>
      <c r="V14" s="87">
        <v>0</v>
      </c>
    </row>
    <row r="15" spans="1:22" ht="11.25">
      <c r="A15" s="84">
        <v>24</v>
      </c>
      <c r="B15" s="85">
        <v>0</v>
      </c>
      <c r="C15" s="86">
        <v>0</v>
      </c>
      <c r="D15" s="87">
        <v>0</v>
      </c>
      <c r="E15" s="86">
        <v>0</v>
      </c>
      <c r="F15" s="87">
        <v>0</v>
      </c>
      <c r="G15" s="86">
        <v>0</v>
      </c>
      <c r="H15" s="87">
        <v>0</v>
      </c>
      <c r="I15" s="86">
        <v>0</v>
      </c>
      <c r="J15" s="87">
        <v>0</v>
      </c>
      <c r="K15" s="86">
        <v>0</v>
      </c>
      <c r="L15" s="87">
        <v>0</v>
      </c>
      <c r="M15" s="86">
        <v>0</v>
      </c>
      <c r="N15" s="87">
        <v>0</v>
      </c>
      <c r="O15" s="86">
        <v>0</v>
      </c>
      <c r="P15" s="87">
        <v>0</v>
      </c>
      <c r="Q15" s="86">
        <v>0</v>
      </c>
      <c r="R15" s="87">
        <v>0</v>
      </c>
      <c r="S15" s="86">
        <v>0</v>
      </c>
      <c r="T15" s="87">
        <v>0</v>
      </c>
      <c r="U15" s="86">
        <v>0</v>
      </c>
      <c r="V15" s="87">
        <v>0</v>
      </c>
    </row>
    <row r="16" spans="1:22" ht="11.25">
      <c r="A16" s="84">
        <v>25</v>
      </c>
      <c r="B16" s="85">
        <v>0</v>
      </c>
      <c r="C16" s="86">
        <v>0</v>
      </c>
      <c r="D16" s="87">
        <v>0</v>
      </c>
      <c r="E16" s="86">
        <v>0</v>
      </c>
      <c r="F16" s="87">
        <v>0</v>
      </c>
      <c r="G16" s="86">
        <v>0</v>
      </c>
      <c r="H16" s="87">
        <v>0</v>
      </c>
      <c r="I16" s="86">
        <v>0</v>
      </c>
      <c r="J16" s="87">
        <v>0</v>
      </c>
      <c r="K16" s="86">
        <v>0</v>
      </c>
      <c r="L16" s="87">
        <v>0</v>
      </c>
      <c r="M16" s="86">
        <v>0</v>
      </c>
      <c r="N16" s="87">
        <v>0</v>
      </c>
      <c r="O16" s="86">
        <v>0</v>
      </c>
      <c r="P16" s="87">
        <v>0</v>
      </c>
      <c r="Q16" s="86">
        <v>0</v>
      </c>
      <c r="R16" s="87">
        <v>0</v>
      </c>
      <c r="S16" s="86">
        <v>0</v>
      </c>
      <c r="T16" s="87">
        <v>0</v>
      </c>
      <c r="U16" s="86">
        <v>0</v>
      </c>
      <c r="V16" s="87">
        <v>0</v>
      </c>
    </row>
    <row r="17" spans="1:22" ht="11.25">
      <c r="A17" s="84">
        <v>26</v>
      </c>
      <c r="B17" s="85">
        <v>0</v>
      </c>
      <c r="C17" s="86">
        <v>0</v>
      </c>
      <c r="D17" s="87">
        <v>0</v>
      </c>
      <c r="E17" s="86">
        <v>0</v>
      </c>
      <c r="F17" s="87">
        <v>0</v>
      </c>
      <c r="G17" s="86">
        <v>0</v>
      </c>
      <c r="H17" s="87">
        <v>0</v>
      </c>
      <c r="I17" s="86">
        <v>0</v>
      </c>
      <c r="J17" s="87">
        <v>0</v>
      </c>
      <c r="K17" s="86">
        <v>0</v>
      </c>
      <c r="L17" s="87">
        <v>0</v>
      </c>
      <c r="M17" s="86">
        <v>0</v>
      </c>
      <c r="N17" s="87">
        <v>0</v>
      </c>
      <c r="O17" s="86">
        <v>0</v>
      </c>
      <c r="P17" s="87">
        <v>0</v>
      </c>
      <c r="Q17" s="86">
        <v>0</v>
      </c>
      <c r="R17" s="87">
        <v>0</v>
      </c>
      <c r="S17" s="86">
        <v>0</v>
      </c>
      <c r="T17" s="87">
        <v>0</v>
      </c>
      <c r="U17" s="86">
        <v>0</v>
      </c>
      <c r="V17" s="87">
        <v>0</v>
      </c>
    </row>
    <row r="18" spans="1:22" ht="11.25">
      <c r="A18" s="84">
        <v>27</v>
      </c>
      <c r="B18" s="85">
        <v>0</v>
      </c>
      <c r="C18" s="86">
        <v>0</v>
      </c>
      <c r="D18" s="87">
        <v>0</v>
      </c>
      <c r="E18" s="86">
        <v>0</v>
      </c>
      <c r="F18" s="87">
        <v>0</v>
      </c>
      <c r="G18" s="86">
        <v>0</v>
      </c>
      <c r="H18" s="87">
        <v>0</v>
      </c>
      <c r="I18" s="86">
        <v>0</v>
      </c>
      <c r="J18" s="87">
        <v>0</v>
      </c>
      <c r="K18" s="86">
        <v>0</v>
      </c>
      <c r="L18" s="87">
        <v>0</v>
      </c>
      <c r="M18" s="86">
        <v>0</v>
      </c>
      <c r="N18" s="87">
        <v>0</v>
      </c>
      <c r="O18" s="86">
        <v>0</v>
      </c>
      <c r="P18" s="87">
        <v>0</v>
      </c>
      <c r="Q18" s="86">
        <v>0</v>
      </c>
      <c r="R18" s="87">
        <v>0</v>
      </c>
      <c r="S18" s="86">
        <v>0</v>
      </c>
      <c r="T18" s="87">
        <v>0</v>
      </c>
      <c r="U18" s="86">
        <v>0</v>
      </c>
      <c r="V18" s="87">
        <v>0</v>
      </c>
    </row>
    <row r="19" spans="1:22" ht="11.25">
      <c r="A19" s="84">
        <v>28</v>
      </c>
      <c r="B19" s="85">
        <v>0</v>
      </c>
      <c r="C19" s="86">
        <v>0</v>
      </c>
      <c r="D19" s="87">
        <v>0</v>
      </c>
      <c r="E19" s="86">
        <v>0</v>
      </c>
      <c r="F19" s="87">
        <v>0</v>
      </c>
      <c r="G19" s="86">
        <v>0</v>
      </c>
      <c r="H19" s="87">
        <v>0</v>
      </c>
      <c r="I19" s="86">
        <v>0</v>
      </c>
      <c r="J19" s="87">
        <v>0</v>
      </c>
      <c r="K19" s="86">
        <v>0</v>
      </c>
      <c r="L19" s="87">
        <v>0</v>
      </c>
      <c r="M19" s="86">
        <v>0</v>
      </c>
      <c r="N19" s="87">
        <v>0</v>
      </c>
      <c r="O19" s="86">
        <v>0</v>
      </c>
      <c r="P19" s="87">
        <v>0</v>
      </c>
      <c r="Q19" s="86">
        <v>0</v>
      </c>
      <c r="R19" s="87">
        <v>0</v>
      </c>
      <c r="S19" s="86">
        <v>0</v>
      </c>
      <c r="T19" s="87">
        <v>0</v>
      </c>
      <c r="U19" s="86">
        <v>0</v>
      </c>
      <c r="V19" s="87">
        <v>0</v>
      </c>
    </row>
    <row r="20" spans="1:22" ht="11.25">
      <c r="A20" s="84">
        <v>29</v>
      </c>
      <c r="B20" s="85">
        <v>0</v>
      </c>
      <c r="C20" s="86">
        <v>0</v>
      </c>
      <c r="D20" s="87">
        <v>0</v>
      </c>
      <c r="E20" s="86">
        <v>0</v>
      </c>
      <c r="F20" s="87">
        <v>0</v>
      </c>
      <c r="G20" s="86">
        <v>0</v>
      </c>
      <c r="H20" s="87">
        <v>0</v>
      </c>
      <c r="I20" s="86">
        <v>0</v>
      </c>
      <c r="J20" s="87">
        <v>0</v>
      </c>
      <c r="K20" s="86">
        <v>0</v>
      </c>
      <c r="L20" s="87">
        <v>0</v>
      </c>
      <c r="M20" s="86">
        <v>0</v>
      </c>
      <c r="N20" s="87">
        <v>0</v>
      </c>
      <c r="O20" s="86">
        <v>0</v>
      </c>
      <c r="P20" s="87">
        <v>0</v>
      </c>
      <c r="Q20" s="86">
        <v>0</v>
      </c>
      <c r="R20" s="87">
        <v>0</v>
      </c>
      <c r="S20" s="86">
        <v>0</v>
      </c>
      <c r="T20" s="87">
        <v>0</v>
      </c>
      <c r="U20" s="86">
        <v>0</v>
      </c>
      <c r="V20" s="87">
        <v>0</v>
      </c>
    </row>
    <row r="21" spans="1:22" ht="11.25">
      <c r="A21" s="84">
        <v>30</v>
      </c>
      <c r="B21" s="85">
        <v>0</v>
      </c>
      <c r="C21" s="86">
        <v>0</v>
      </c>
      <c r="D21" s="87">
        <v>0</v>
      </c>
      <c r="E21" s="86">
        <v>0</v>
      </c>
      <c r="F21" s="87">
        <v>0</v>
      </c>
      <c r="G21" s="86">
        <v>0</v>
      </c>
      <c r="H21" s="87">
        <v>0</v>
      </c>
      <c r="I21" s="86">
        <v>0</v>
      </c>
      <c r="J21" s="87">
        <v>0</v>
      </c>
      <c r="K21" s="86">
        <v>0</v>
      </c>
      <c r="L21" s="87">
        <v>0</v>
      </c>
      <c r="M21" s="86">
        <v>0</v>
      </c>
      <c r="N21" s="87">
        <v>0</v>
      </c>
      <c r="O21" s="86">
        <v>0</v>
      </c>
      <c r="P21" s="87">
        <v>0</v>
      </c>
      <c r="Q21" s="86">
        <v>0</v>
      </c>
      <c r="R21" s="87">
        <v>0</v>
      </c>
      <c r="S21" s="86">
        <v>0</v>
      </c>
      <c r="T21" s="87">
        <v>0</v>
      </c>
      <c r="U21" s="86">
        <v>0</v>
      </c>
      <c r="V21" s="87">
        <v>0</v>
      </c>
    </row>
    <row r="22" spans="1:22" ht="11.25">
      <c r="A22" s="84">
        <v>31</v>
      </c>
      <c r="B22" s="85">
        <v>0</v>
      </c>
      <c r="C22" s="86">
        <v>0</v>
      </c>
      <c r="D22" s="87">
        <v>0</v>
      </c>
      <c r="E22" s="86">
        <v>0</v>
      </c>
      <c r="F22" s="87">
        <v>0</v>
      </c>
      <c r="G22" s="86">
        <v>0</v>
      </c>
      <c r="H22" s="87">
        <v>0</v>
      </c>
      <c r="I22" s="86">
        <v>0</v>
      </c>
      <c r="J22" s="87">
        <v>0</v>
      </c>
      <c r="K22" s="86">
        <v>0</v>
      </c>
      <c r="L22" s="87">
        <v>0</v>
      </c>
      <c r="M22" s="86">
        <v>0</v>
      </c>
      <c r="N22" s="87">
        <v>0</v>
      </c>
      <c r="O22" s="86">
        <v>0</v>
      </c>
      <c r="P22" s="87">
        <v>0</v>
      </c>
      <c r="Q22" s="86">
        <v>0</v>
      </c>
      <c r="R22" s="87">
        <v>0</v>
      </c>
      <c r="S22" s="86">
        <v>0</v>
      </c>
      <c r="T22" s="87">
        <v>0</v>
      </c>
      <c r="U22" s="86">
        <v>0</v>
      </c>
      <c r="V22" s="87">
        <v>0</v>
      </c>
    </row>
    <row r="23" spans="1:22" ht="11.25">
      <c r="A23" s="84">
        <v>32</v>
      </c>
      <c r="B23" s="85">
        <v>0</v>
      </c>
      <c r="C23" s="86">
        <v>0</v>
      </c>
      <c r="D23" s="87">
        <v>0</v>
      </c>
      <c r="E23" s="86">
        <v>0</v>
      </c>
      <c r="F23" s="87">
        <v>0</v>
      </c>
      <c r="G23" s="86">
        <v>0</v>
      </c>
      <c r="H23" s="87">
        <v>0</v>
      </c>
      <c r="I23" s="86">
        <v>0</v>
      </c>
      <c r="J23" s="87">
        <v>0</v>
      </c>
      <c r="K23" s="86">
        <v>0</v>
      </c>
      <c r="L23" s="87">
        <v>0</v>
      </c>
      <c r="M23" s="86">
        <v>0</v>
      </c>
      <c r="N23" s="87">
        <v>0</v>
      </c>
      <c r="O23" s="86">
        <v>0</v>
      </c>
      <c r="P23" s="87">
        <v>0</v>
      </c>
      <c r="Q23" s="86">
        <v>0</v>
      </c>
      <c r="R23" s="87">
        <v>0</v>
      </c>
      <c r="S23" s="86">
        <v>0</v>
      </c>
      <c r="T23" s="87">
        <v>0</v>
      </c>
      <c r="U23" s="86">
        <v>0</v>
      </c>
      <c r="V23" s="87">
        <v>0</v>
      </c>
    </row>
    <row r="24" spans="1:22" ht="11.25">
      <c r="A24" s="84">
        <v>33</v>
      </c>
      <c r="B24" s="85">
        <v>0</v>
      </c>
      <c r="C24" s="86">
        <v>0</v>
      </c>
      <c r="D24" s="87">
        <v>0</v>
      </c>
      <c r="E24" s="86">
        <v>0</v>
      </c>
      <c r="F24" s="87">
        <v>0</v>
      </c>
      <c r="G24" s="86">
        <v>0</v>
      </c>
      <c r="H24" s="87">
        <v>0</v>
      </c>
      <c r="I24" s="86">
        <v>0</v>
      </c>
      <c r="J24" s="87">
        <v>0</v>
      </c>
      <c r="K24" s="86">
        <v>0</v>
      </c>
      <c r="L24" s="87">
        <v>0</v>
      </c>
      <c r="M24" s="86">
        <v>0</v>
      </c>
      <c r="N24" s="87">
        <v>0</v>
      </c>
      <c r="O24" s="86">
        <v>0</v>
      </c>
      <c r="P24" s="87">
        <v>0</v>
      </c>
      <c r="Q24" s="86">
        <v>0</v>
      </c>
      <c r="R24" s="87">
        <v>0</v>
      </c>
      <c r="S24" s="86">
        <v>0</v>
      </c>
      <c r="T24" s="87">
        <v>0</v>
      </c>
      <c r="U24" s="86">
        <v>0</v>
      </c>
      <c r="V24" s="87">
        <v>0</v>
      </c>
    </row>
    <row r="25" spans="1:22" ht="11.25">
      <c r="A25" s="84">
        <v>34</v>
      </c>
      <c r="B25" s="85">
        <v>0</v>
      </c>
      <c r="C25" s="86">
        <v>0</v>
      </c>
      <c r="D25" s="87">
        <v>0</v>
      </c>
      <c r="E25" s="86">
        <v>0</v>
      </c>
      <c r="F25" s="87">
        <v>0</v>
      </c>
      <c r="G25" s="86">
        <v>0</v>
      </c>
      <c r="H25" s="87">
        <v>0</v>
      </c>
      <c r="I25" s="86">
        <v>0</v>
      </c>
      <c r="J25" s="87">
        <v>0</v>
      </c>
      <c r="K25" s="86">
        <v>0</v>
      </c>
      <c r="L25" s="87">
        <v>0</v>
      </c>
      <c r="M25" s="86">
        <v>0</v>
      </c>
      <c r="N25" s="87">
        <v>0</v>
      </c>
      <c r="O25" s="86">
        <v>0</v>
      </c>
      <c r="P25" s="87">
        <v>0</v>
      </c>
      <c r="Q25" s="86">
        <v>0</v>
      </c>
      <c r="R25" s="87">
        <v>0</v>
      </c>
      <c r="S25" s="86">
        <v>0</v>
      </c>
      <c r="T25" s="87">
        <v>0</v>
      </c>
      <c r="U25" s="86">
        <v>0</v>
      </c>
      <c r="V25" s="87">
        <v>0</v>
      </c>
    </row>
    <row r="26" spans="1:22" ht="11.25">
      <c r="A26" s="84">
        <v>35</v>
      </c>
      <c r="B26" s="85">
        <v>0</v>
      </c>
      <c r="C26" s="86">
        <v>0</v>
      </c>
      <c r="D26" s="87">
        <v>0</v>
      </c>
      <c r="E26" s="86">
        <v>0</v>
      </c>
      <c r="F26" s="87">
        <v>0</v>
      </c>
      <c r="G26" s="86">
        <v>0</v>
      </c>
      <c r="H26" s="87">
        <v>0</v>
      </c>
      <c r="I26" s="86">
        <v>0</v>
      </c>
      <c r="J26" s="87">
        <v>0</v>
      </c>
      <c r="K26" s="86">
        <v>0</v>
      </c>
      <c r="L26" s="87">
        <v>0</v>
      </c>
      <c r="M26" s="86">
        <v>0</v>
      </c>
      <c r="N26" s="87">
        <v>0</v>
      </c>
      <c r="O26" s="86">
        <v>0</v>
      </c>
      <c r="P26" s="87">
        <v>0</v>
      </c>
      <c r="Q26" s="86">
        <v>0</v>
      </c>
      <c r="R26" s="87">
        <v>0</v>
      </c>
      <c r="S26" s="86">
        <v>0</v>
      </c>
      <c r="T26" s="87">
        <v>0</v>
      </c>
      <c r="U26" s="86">
        <v>0</v>
      </c>
      <c r="V26" s="87">
        <v>0</v>
      </c>
    </row>
    <row r="27" spans="1:22" ht="11.25">
      <c r="A27" s="84">
        <v>36</v>
      </c>
      <c r="B27" s="85">
        <v>0</v>
      </c>
      <c r="C27" s="86">
        <v>0</v>
      </c>
      <c r="D27" s="87">
        <v>0</v>
      </c>
      <c r="E27" s="86">
        <v>0</v>
      </c>
      <c r="F27" s="87">
        <v>0</v>
      </c>
      <c r="G27" s="86">
        <v>0</v>
      </c>
      <c r="H27" s="87">
        <v>0</v>
      </c>
      <c r="I27" s="86">
        <v>0</v>
      </c>
      <c r="J27" s="87">
        <v>0</v>
      </c>
      <c r="K27" s="86">
        <v>0</v>
      </c>
      <c r="L27" s="87">
        <v>0</v>
      </c>
      <c r="M27" s="86">
        <v>0</v>
      </c>
      <c r="N27" s="87">
        <v>0</v>
      </c>
      <c r="O27" s="86">
        <v>0</v>
      </c>
      <c r="P27" s="87">
        <v>0</v>
      </c>
      <c r="Q27" s="86">
        <v>0</v>
      </c>
      <c r="R27" s="87">
        <v>0</v>
      </c>
      <c r="S27" s="86">
        <v>0</v>
      </c>
      <c r="T27" s="87">
        <v>0</v>
      </c>
      <c r="U27" s="86">
        <v>0</v>
      </c>
      <c r="V27" s="87">
        <v>0</v>
      </c>
    </row>
    <row r="28" spans="1:22" ht="11.25">
      <c r="A28" s="84">
        <v>37</v>
      </c>
      <c r="B28" s="85">
        <v>0</v>
      </c>
      <c r="C28" s="86">
        <v>0</v>
      </c>
      <c r="D28" s="87">
        <v>0</v>
      </c>
      <c r="E28" s="86">
        <v>0</v>
      </c>
      <c r="F28" s="87">
        <v>0</v>
      </c>
      <c r="G28" s="86">
        <v>0</v>
      </c>
      <c r="H28" s="87">
        <v>0</v>
      </c>
      <c r="I28" s="86">
        <v>0</v>
      </c>
      <c r="J28" s="87">
        <v>0</v>
      </c>
      <c r="K28" s="86">
        <v>0</v>
      </c>
      <c r="L28" s="87">
        <v>0</v>
      </c>
      <c r="M28" s="86">
        <v>0</v>
      </c>
      <c r="N28" s="87">
        <v>0</v>
      </c>
      <c r="O28" s="86">
        <v>0</v>
      </c>
      <c r="P28" s="87">
        <v>0</v>
      </c>
      <c r="Q28" s="86">
        <v>0</v>
      </c>
      <c r="R28" s="87">
        <v>0</v>
      </c>
      <c r="S28" s="86">
        <v>0</v>
      </c>
      <c r="T28" s="87">
        <v>0</v>
      </c>
      <c r="U28" s="86">
        <v>0</v>
      </c>
      <c r="V28" s="87">
        <v>0</v>
      </c>
    </row>
    <row r="29" spans="1:22" ht="11.25">
      <c r="A29" s="84">
        <v>38</v>
      </c>
      <c r="B29" s="85">
        <v>0</v>
      </c>
      <c r="C29" s="86">
        <v>0</v>
      </c>
      <c r="D29" s="87">
        <v>0</v>
      </c>
      <c r="E29" s="86">
        <v>0</v>
      </c>
      <c r="F29" s="87">
        <v>0</v>
      </c>
      <c r="G29" s="86">
        <v>0</v>
      </c>
      <c r="H29" s="87">
        <v>0</v>
      </c>
      <c r="I29" s="86">
        <v>0</v>
      </c>
      <c r="J29" s="87">
        <v>0</v>
      </c>
      <c r="K29" s="86">
        <v>0</v>
      </c>
      <c r="L29" s="87">
        <v>0</v>
      </c>
      <c r="M29" s="86">
        <v>0</v>
      </c>
      <c r="N29" s="87">
        <v>0</v>
      </c>
      <c r="O29" s="86">
        <v>0</v>
      </c>
      <c r="P29" s="87">
        <v>0</v>
      </c>
      <c r="Q29" s="86">
        <v>0</v>
      </c>
      <c r="R29" s="87">
        <v>0</v>
      </c>
      <c r="S29" s="86">
        <v>0</v>
      </c>
      <c r="T29" s="87">
        <v>0</v>
      </c>
      <c r="U29" s="86">
        <v>0</v>
      </c>
      <c r="V29" s="87">
        <v>0</v>
      </c>
    </row>
    <row r="30" spans="1:22" ht="11.25">
      <c r="A30" s="84">
        <v>39</v>
      </c>
      <c r="B30" s="85">
        <v>0</v>
      </c>
      <c r="C30" s="86">
        <v>0</v>
      </c>
      <c r="D30" s="87">
        <v>0</v>
      </c>
      <c r="E30" s="86">
        <v>0</v>
      </c>
      <c r="F30" s="87">
        <v>0</v>
      </c>
      <c r="G30" s="86">
        <v>0</v>
      </c>
      <c r="H30" s="87">
        <v>0</v>
      </c>
      <c r="I30" s="86">
        <v>0</v>
      </c>
      <c r="J30" s="87">
        <v>0</v>
      </c>
      <c r="K30" s="86">
        <v>0</v>
      </c>
      <c r="L30" s="87">
        <v>0</v>
      </c>
      <c r="M30" s="86">
        <v>0</v>
      </c>
      <c r="N30" s="87">
        <v>0</v>
      </c>
      <c r="O30" s="86">
        <v>0</v>
      </c>
      <c r="P30" s="87">
        <v>0</v>
      </c>
      <c r="Q30" s="86">
        <v>0</v>
      </c>
      <c r="R30" s="87">
        <v>0</v>
      </c>
      <c r="S30" s="86">
        <v>0</v>
      </c>
      <c r="T30" s="87">
        <v>0</v>
      </c>
      <c r="U30" s="86">
        <v>0</v>
      </c>
      <c r="V30" s="87">
        <v>0</v>
      </c>
    </row>
    <row r="31" spans="1:22" ht="11.25">
      <c r="A31" s="84">
        <v>40</v>
      </c>
      <c r="B31" s="85">
        <v>0</v>
      </c>
      <c r="C31" s="86">
        <v>0</v>
      </c>
      <c r="D31" s="87">
        <v>0</v>
      </c>
      <c r="E31" s="86">
        <v>0</v>
      </c>
      <c r="F31" s="87">
        <v>0</v>
      </c>
      <c r="G31" s="86">
        <v>0</v>
      </c>
      <c r="H31" s="87">
        <v>0</v>
      </c>
      <c r="I31" s="86">
        <v>0</v>
      </c>
      <c r="J31" s="87">
        <v>0</v>
      </c>
      <c r="K31" s="86">
        <v>0</v>
      </c>
      <c r="L31" s="87">
        <v>0</v>
      </c>
      <c r="M31" s="86">
        <v>0</v>
      </c>
      <c r="N31" s="87">
        <v>0</v>
      </c>
      <c r="O31" s="86">
        <v>0</v>
      </c>
      <c r="P31" s="87">
        <v>0</v>
      </c>
      <c r="Q31" s="86">
        <v>0</v>
      </c>
      <c r="R31" s="87">
        <v>0</v>
      </c>
      <c r="S31" s="86">
        <v>0</v>
      </c>
      <c r="T31" s="87">
        <v>0</v>
      </c>
      <c r="U31" s="86">
        <v>0</v>
      </c>
      <c r="V31" s="87">
        <v>0</v>
      </c>
    </row>
    <row r="32" spans="1:22" ht="11.25">
      <c r="A32" s="84">
        <v>41</v>
      </c>
      <c r="B32" s="85">
        <v>0</v>
      </c>
      <c r="C32" s="86">
        <v>0</v>
      </c>
      <c r="D32" s="87">
        <v>0</v>
      </c>
      <c r="E32" s="86">
        <v>0</v>
      </c>
      <c r="F32" s="87">
        <v>0</v>
      </c>
      <c r="G32" s="86">
        <v>0</v>
      </c>
      <c r="H32" s="87">
        <v>0</v>
      </c>
      <c r="I32" s="86">
        <v>0</v>
      </c>
      <c r="J32" s="87">
        <v>0</v>
      </c>
      <c r="K32" s="86">
        <v>0</v>
      </c>
      <c r="L32" s="87">
        <v>0</v>
      </c>
      <c r="M32" s="86">
        <v>0</v>
      </c>
      <c r="N32" s="87">
        <v>0</v>
      </c>
      <c r="O32" s="86">
        <v>0</v>
      </c>
      <c r="P32" s="87">
        <v>0</v>
      </c>
      <c r="Q32" s="86">
        <v>0</v>
      </c>
      <c r="R32" s="87">
        <v>0</v>
      </c>
      <c r="S32" s="86">
        <v>0</v>
      </c>
      <c r="T32" s="87">
        <v>0</v>
      </c>
      <c r="U32" s="86">
        <v>0</v>
      </c>
      <c r="V32" s="87">
        <v>0</v>
      </c>
    </row>
    <row r="33" spans="1:22" ht="11.25">
      <c r="A33" s="84">
        <v>42</v>
      </c>
      <c r="B33" s="85">
        <v>0</v>
      </c>
      <c r="C33" s="86">
        <v>0</v>
      </c>
      <c r="D33" s="87">
        <v>0</v>
      </c>
      <c r="E33" s="86">
        <v>0</v>
      </c>
      <c r="F33" s="87">
        <v>0</v>
      </c>
      <c r="G33" s="86">
        <v>0</v>
      </c>
      <c r="H33" s="87">
        <v>0</v>
      </c>
      <c r="I33" s="86">
        <v>0</v>
      </c>
      <c r="J33" s="87">
        <v>0</v>
      </c>
      <c r="K33" s="86">
        <v>0</v>
      </c>
      <c r="L33" s="87">
        <v>0</v>
      </c>
      <c r="M33" s="86">
        <v>0</v>
      </c>
      <c r="N33" s="87">
        <v>0</v>
      </c>
      <c r="O33" s="86">
        <v>0</v>
      </c>
      <c r="P33" s="87">
        <v>0</v>
      </c>
      <c r="Q33" s="86">
        <v>0</v>
      </c>
      <c r="R33" s="87">
        <v>0</v>
      </c>
      <c r="S33" s="86">
        <v>0</v>
      </c>
      <c r="T33" s="87">
        <v>0</v>
      </c>
      <c r="U33" s="86">
        <v>0</v>
      </c>
      <c r="V33" s="87">
        <v>0</v>
      </c>
    </row>
    <row r="34" spans="1:22" ht="11.25">
      <c r="A34" s="84">
        <v>43</v>
      </c>
      <c r="B34" s="85">
        <v>0</v>
      </c>
      <c r="C34" s="86">
        <v>0</v>
      </c>
      <c r="D34" s="87">
        <v>0</v>
      </c>
      <c r="E34" s="86">
        <v>0</v>
      </c>
      <c r="F34" s="87">
        <v>0</v>
      </c>
      <c r="G34" s="86">
        <v>0</v>
      </c>
      <c r="H34" s="87">
        <v>0</v>
      </c>
      <c r="I34" s="86">
        <v>0</v>
      </c>
      <c r="J34" s="87">
        <v>0</v>
      </c>
      <c r="K34" s="86">
        <v>0</v>
      </c>
      <c r="L34" s="87">
        <v>0</v>
      </c>
      <c r="M34" s="86">
        <v>0</v>
      </c>
      <c r="N34" s="87">
        <v>0</v>
      </c>
      <c r="O34" s="86">
        <v>0</v>
      </c>
      <c r="P34" s="87">
        <v>0</v>
      </c>
      <c r="Q34" s="86">
        <v>0</v>
      </c>
      <c r="R34" s="87">
        <v>0</v>
      </c>
      <c r="S34" s="86">
        <v>0</v>
      </c>
      <c r="T34" s="87">
        <v>0</v>
      </c>
      <c r="U34" s="86">
        <v>0</v>
      </c>
      <c r="V34" s="87">
        <v>0</v>
      </c>
    </row>
    <row r="35" spans="1:22" ht="11.25">
      <c r="A35" s="84">
        <v>44</v>
      </c>
      <c r="B35" s="85">
        <v>0</v>
      </c>
      <c r="C35" s="86">
        <v>0</v>
      </c>
      <c r="D35" s="87">
        <v>0</v>
      </c>
      <c r="E35" s="86">
        <v>0</v>
      </c>
      <c r="F35" s="87">
        <v>0</v>
      </c>
      <c r="G35" s="86">
        <v>0</v>
      </c>
      <c r="H35" s="87">
        <v>0</v>
      </c>
      <c r="I35" s="86">
        <v>0</v>
      </c>
      <c r="J35" s="87">
        <v>0</v>
      </c>
      <c r="K35" s="86">
        <v>0</v>
      </c>
      <c r="L35" s="87">
        <v>0</v>
      </c>
      <c r="M35" s="86">
        <v>0</v>
      </c>
      <c r="N35" s="87">
        <v>0</v>
      </c>
      <c r="O35" s="86">
        <v>0</v>
      </c>
      <c r="P35" s="87">
        <v>0</v>
      </c>
      <c r="Q35" s="86">
        <v>0</v>
      </c>
      <c r="R35" s="87">
        <v>0</v>
      </c>
      <c r="S35" s="86">
        <v>0</v>
      </c>
      <c r="T35" s="87">
        <v>0</v>
      </c>
      <c r="U35" s="86">
        <v>0</v>
      </c>
      <c r="V35" s="87">
        <f>V34*Rekenblad!$E$30</f>
        <v>0</v>
      </c>
    </row>
    <row r="36" spans="1:22" ht="11.25">
      <c r="A36" s="84">
        <v>45</v>
      </c>
      <c r="B36" s="85">
        <v>0</v>
      </c>
      <c r="C36" s="86">
        <v>0</v>
      </c>
      <c r="D36" s="87">
        <v>0</v>
      </c>
      <c r="E36" s="86">
        <v>0</v>
      </c>
      <c r="F36" s="87">
        <v>0</v>
      </c>
      <c r="G36" s="86">
        <v>0</v>
      </c>
      <c r="H36" s="87">
        <v>0</v>
      </c>
      <c r="I36" s="86">
        <v>0</v>
      </c>
      <c r="J36" s="87">
        <v>0</v>
      </c>
      <c r="K36" s="86">
        <v>200</v>
      </c>
      <c r="L36" s="87">
        <v>0</v>
      </c>
      <c r="M36" s="86">
        <v>0</v>
      </c>
      <c r="N36" s="87">
        <v>0</v>
      </c>
      <c r="O36" s="86">
        <v>0</v>
      </c>
      <c r="P36" s="87">
        <v>0</v>
      </c>
      <c r="Q36" s="86">
        <v>0</v>
      </c>
      <c r="R36" s="87">
        <v>0</v>
      </c>
      <c r="S36" s="86">
        <v>0</v>
      </c>
      <c r="T36" s="87">
        <v>0</v>
      </c>
      <c r="U36" s="86">
        <f>U35*Rekenblad!$E$30</f>
        <v>0</v>
      </c>
      <c r="V36" s="87"/>
    </row>
    <row r="37" spans="1:22" ht="11.25">
      <c r="A37" s="84">
        <v>46</v>
      </c>
      <c r="B37" s="85">
        <v>0</v>
      </c>
      <c r="C37" s="86">
        <v>0</v>
      </c>
      <c r="D37" s="87">
        <v>0</v>
      </c>
      <c r="E37" s="86">
        <v>0</v>
      </c>
      <c r="F37" s="87">
        <v>0</v>
      </c>
      <c r="G37" s="86">
        <v>0</v>
      </c>
      <c r="H37" s="87">
        <v>0</v>
      </c>
      <c r="I37" s="86">
        <v>0</v>
      </c>
      <c r="J37" s="87">
        <v>200</v>
      </c>
      <c r="K37" s="86">
        <v>0</v>
      </c>
      <c r="L37" s="87">
        <v>0</v>
      </c>
      <c r="M37" s="86">
        <v>0</v>
      </c>
      <c r="N37" s="87">
        <v>0</v>
      </c>
      <c r="O37" s="86">
        <v>0</v>
      </c>
      <c r="P37" s="87">
        <v>0</v>
      </c>
      <c r="Q37" s="86">
        <v>0</v>
      </c>
      <c r="R37" s="87">
        <v>0</v>
      </c>
      <c r="S37" s="86">
        <v>0</v>
      </c>
      <c r="T37" s="87">
        <f>T36*Rekenblad!$E$30</f>
        <v>0</v>
      </c>
      <c r="U37" s="86"/>
      <c r="V37" s="87"/>
    </row>
    <row r="38" spans="1:22" ht="11.25">
      <c r="A38" s="84">
        <v>47</v>
      </c>
      <c r="B38" s="85">
        <v>0</v>
      </c>
      <c r="C38" s="86">
        <v>0</v>
      </c>
      <c r="D38" s="87">
        <v>0</v>
      </c>
      <c r="E38" s="86">
        <v>0</v>
      </c>
      <c r="F38" s="87">
        <v>0</v>
      </c>
      <c r="G38" s="86">
        <v>0</v>
      </c>
      <c r="H38" s="87">
        <v>0</v>
      </c>
      <c r="I38" s="86">
        <v>200</v>
      </c>
      <c r="J38" s="87">
        <v>0</v>
      </c>
      <c r="K38" s="86">
        <v>0</v>
      </c>
      <c r="L38" s="87">
        <v>0</v>
      </c>
      <c r="M38" s="86">
        <v>0</v>
      </c>
      <c r="N38" s="87">
        <v>0</v>
      </c>
      <c r="O38" s="86">
        <v>0</v>
      </c>
      <c r="P38" s="87">
        <v>0</v>
      </c>
      <c r="Q38" s="86">
        <v>0</v>
      </c>
      <c r="R38" s="87">
        <v>0</v>
      </c>
      <c r="S38" s="86">
        <f>S37*Rekenblad!$E$30</f>
        <v>0</v>
      </c>
      <c r="T38" s="87"/>
      <c r="U38" s="86"/>
      <c r="V38" s="87"/>
    </row>
    <row r="39" spans="1:22" ht="11.25">
      <c r="A39" s="84">
        <v>48</v>
      </c>
      <c r="B39" s="85">
        <v>0</v>
      </c>
      <c r="C39" s="86">
        <v>0</v>
      </c>
      <c r="D39" s="87">
        <v>0</v>
      </c>
      <c r="E39" s="86">
        <v>0</v>
      </c>
      <c r="F39" s="87">
        <v>0</v>
      </c>
      <c r="G39" s="86">
        <v>0</v>
      </c>
      <c r="H39" s="87">
        <v>200</v>
      </c>
      <c r="I39" s="86">
        <v>0</v>
      </c>
      <c r="J39" s="87">
        <v>0</v>
      </c>
      <c r="K39" s="86">
        <v>0</v>
      </c>
      <c r="L39" s="87">
        <v>0</v>
      </c>
      <c r="M39" s="86">
        <v>0</v>
      </c>
      <c r="N39" s="87">
        <v>0</v>
      </c>
      <c r="O39" s="86">
        <v>0</v>
      </c>
      <c r="P39" s="87">
        <v>0</v>
      </c>
      <c r="Q39" s="86">
        <v>0</v>
      </c>
      <c r="R39" s="87">
        <f>R38*Rekenblad!$E$30</f>
        <v>0</v>
      </c>
      <c r="S39" s="86"/>
      <c r="T39" s="87"/>
      <c r="U39" s="86"/>
      <c r="V39" s="87"/>
    </row>
    <row r="40" spans="1:22" ht="11.25">
      <c r="A40" s="84">
        <v>49</v>
      </c>
      <c r="B40" s="85">
        <v>0</v>
      </c>
      <c r="C40" s="86">
        <v>0</v>
      </c>
      <c r="D40" s="87">
        <v>0</v>
      </c>
      <c r="E40" s="86">
        <v>0</v>
      </c>
      <c r="F40" s="261">
        <v>0</v>
      </c>
      <c r="G40" s="86">
        <v>200</v>
      </c>
      <c r="H40" s="87">
        <v>0</v>
      </c>
      <c r="I40" s="86">
        <v>0</v>
      </c>
      <c r="J40" s="87">
        <v>0</v>
      </c>
      <c r="K40" s="86">
        <v>0</v>
      </c>
      <c r="L40" s="87">
        <v>0</v>
      </c>
      <c r="M40" s="86">
        <v>0</v>
      </c>
      <c r="N40" s="87">
        <v>0</v>
      </c>
      <c r="O40" s="86">
        <v>0</v>
      </c>
      <c r="P40" s="87">
        <v>0</v>
      </c>
      <c r="Q40" s="86">
        <f>Q39*Rekenblad!$E$30</f>
        <v>0</v>
      </c>
      <c r="R40" s="87"/>
      <c r="S40" s="86"/>
      <c r="T40" s="87"/>
      <c r="U40" s="86"/>
      <c r="V40" s="87"/>
    </row>
    <row r="41" spans="1:22" ht="11.25">
      <c r="A41" s="84">
        <v>50</v>
      </c>
      <c r="B41" s="85">
        <v>10</v>
      </c>
      <c r="C41" s="86">
        <v>0</v>
      </c>
      <c r="D41" s="87">
        <v>0</v>
      </c>
      <c r="E41" s="260">
        <v>0</v>
      </c>
      <c r="F41" s="257">
        <f>80*Rekenblad!D29</f>
        <v>80</v>
      </c>
      <c r="G41" s="200">
        <v>45</v>
      </c>
      <c r="H41" s="87">
        <v>45</v>
      </c>
      <c r="I41" s="86">
        <v>45</v>
      </c>
      <c r="J41" s="87">
        <v>45</v>
      </c>
      <c r="K41" s="86">
        <v>45</v>
      </c>
      <c r="L41" s="87">
        <v>45</v>
      </c>
      <c r="M41" s="86">
        <v>45</v>
      </c>
      <c r="N41" s="87">
        <v>45</v>
      </c>
      <c r="O41" s="86">
        <v>45</v>
      </c>
      <c r="P41" s="287">
        <f>O41*Rekenblad!$E$30</f>
        <v>0</v>
      </c>
      <c r="Q41" s="86"/>
      <c r="R41" s="87"/>
      <c r="S41" s="86"/>
      <c r="T41" s="87"/>
      <c r="U41" s="86"/>
      <c r="V41" s="87"/>
    </row>
    <row r="42" spans="1:22" ht="11.25">
      <c r="A42" s="84">
        <v>51</v>
      </c>
      <c r="B42" s="85">
        <v>10</v>
      </c>
      <c r="C42" s="86">
        <v>0</v>
      </c>
      <c r="D42" s="262">
        <v>0</v>
      </c>
      <c r="E42" s="259">
        <f>100*Rekenblad!D29</f>
        <v>100</v>
      </c>
      <c r="F42" s="80">
        <v>65</v>
      </c>
      <c r="G42" s="86">
        <v>65</v>
      </c>
      <c r="H42" s="87">
        <v>65</v>
      </c>
      <c r="I42" s="86">
        <v>65</v>
      </c>
      <c r="J42" s="87">
        <v>65</v>
      </c>
      <c r="K42" s="86">
        <v>65</v>
      </c>
      <c r="L42" s="87">
        <v>65</v>
      </c>
      <c r="M42" s="86">
        <v>65</v>
      </c>
      <c r="N42" s="87">
        <v>65</v>
      </c>
      <c r="O42" s="86">
        <f>O41*Rekenblad!$E$30</f>
        <v>0</v>
      </c>
      <c r="P42" s="87"/>
      <c r="Q42" s="86"/>
      <c r="R42" s="87"/>
      <c r="S42" s="86"/>
      <c r="T42" s="87"/>
      <c r="U42" s="86"/>
      <c r="V42" s="87"/>
    </row>
    <row r="43" spans="1:22" ht="11.25">
      <c r="A43" s="84">
        <v>52</v>
      </c>
      <c r="B43" s="85">
        <v>10</v>
      </c>
      <c r="C43" s="260">
        <v>0</v>
      </c>
      <c r="D43" s="257">
        <f>120*Rekenblad!D29</f>
        <v>120</v>
      </c>
      <c r="E43" s="199">
        <v>85</v>
      </c>
      <c r="F43" s="87">
        <v>85</v>
      </c>
      <c r="G43" s="86">
        <v>85</v>
      </c>
      <c r="H43" s="87">
        <v>85</v>
      </c>
      <c r="I43" s="86">
        <v>85</v>
      </c>
      <c r="J43" s="87">
        <v>85</v>
      </c>
      <c r="K43" s="86">
        <v>85</v>
      </c>
      <c r="L43" s="87">
        <v>85</v>
      </c>
      <c r="M43" s="86">
        <v>85</v>
      </c>
      <c r="N43" s="87">
        <f>N42*Rekenblad!$E$30</f>
        <v>0</v>
      </c>
      <c r="O43" s="86"/>
      <c r="P43" s="87"/>
      <c r="Q43" s="86"/>
      <c r="R43" s="87"/>
      <c r="S43" s="86"/>
      <c r="T43" s="87"/>
      <c r="U43" s="86"/>
      <c r="V43" s="87"/>
    </row>
    <row r="44" spans="1:22" ht="11.25">
      <c r="A44" s="84">
        <v>53</v>
      </c>
      <c r="B44" s="258">
        <v>10</v>
      </c>
      <c r="C44" s="259">
        <f>(135*Rekenblad!D29)</f>
        <v>135</v>
      </c>
      <c r="D44" s="80">
        <v>100</v>
      </c>
      <c r="E44" s="86">
        <v>100</v>
      </c>
      <c r="F44" s="87">
        <v>100</v>
      </c>
      <c r="G44" s="86">
        <v>100</v>
      </c>
      <c r="H44" s="87">
        <v>100</v>
      </c>
      <c r="I44" s="86">
        <v>100</v>
      </c>
      <c r="J44" s="87">
        <v>100</v>
      </c>
      <c r="K44" s="86">
        <v>100</v>
      </c>
      <c r="L44" s="87">
        <v>100</v>
      </c>
      <c r="M44" s="86">
        <f>M43*Rekenblad!$E$30</f>
        <v>0</v>
      </c>
      <c r="N44" s="87"/>
      <c r="O44" s="86"/>
      <c r="P44" s="87"/>
      <c r="Q44" s="86"/>
      <c r="R44" s="87"/>
      <c r="S44" s="86"/>
      <c r="T44" s="87"/>
      <c r="U44" s="86"/>
      <c r="V44" s="87"/>
    </row>
    <row r="45" spans="1:22" ht="11.25">
      <c r="A45" s="256">
        <v>54</v>
      </c>
      <c r="B45" s="257">
        <f>(150*Rekenblad!D29)</f>
        <v>150</v>
      </c>
      <c r="C45" s="199">
        <v>120</v>
      </c>
      <c r="D45" s="87">
        <v>115</v>
      </c>
      <c r="E45" s="86">
        <v>115</v>
      </c>
      <c r="F45" s="87">
        <v>115</v>
      </c>
      <c r="G45" s="86">
        <v>115</v>
      </c>
      <c r="H45" s="87">
        <v>115</v>
      </c>
      <c r="I45" s="86">
        <v>115</v>
      </c>
      <c r="J45" s="87">
        <v>115</v>
      </c>
      <c r="K45" s="86">
        <v>115</v>
      </c>
      <c r="L45" s="87">
        <f>L44*Rekenblad!$E$30</f>
        <v>0</v>
      </c>
      <c r="M45" s="86"/>
      <c r="N45" s="87"/>
      <c r="O45" s="86"/>
      <c r="P45" s="87"/>
      <c r="Q45" s="86"/>
      <c r="R45" s="87"/>
      <c r="S45" s="86"/>
      <c r="T45" s="87"/>
      <c r="U45" s="86"/>
      <c r="V45" s="87"/>
    </row>
    <row r="46" spans="1:22" ht="11.25">
      <c r="A46" s="84">
        <v>55</v>
      </c>
      <c r="B46" s="80">
        <v>145</v>
      </c>
      <c r="C46" s="86">
        <v>135</v>
      </c>
      <c r="D46" s="87">
        <v>130</v>
      </c>
      <c r="E46" s="86">
        <v>130</v>
      </c>
      <c r="F46" s="87">
        <v>130</v>
      </c>
      <c r="G46" s="86">
        <v>130</v>
      </c>
      <c r="H46" s="87">
        <v>130</v>
      </c>
      <c r="I46" s="86">
        <v>130</v>
      </c>
      <c r="J46" s="87">
        <v>130</v>
      </c>
      <c r="K46" s="288">
        <f>J46*Rekenblad!$E$30</f>
        <v>0</v>
      </c>
      <c r="L46" s="87"/>
      <c r="M46" s="86"/>
      <c r="N46" s="87"/>
      <c r="O46" s="86"/>
      <c r="P46" s="87"/>
      <c r="Q46" s="86"/>
      <c r="R46" s="87"/>
      <c r="S46" s="86"/>
      <c r="T46" s="87"/>
      <c r="U46" s="86"/>
      <c r="V46" s="87"/>
    </row>
    <row r="47" spans="1:22" ht="11.25">
      <c r="A47" s="84">
        <v>56</v>
      </c>
      <c r="B47" s="85">
        <v>145</v>
      </c>
      <c r="C47" s="86">
        <v>135</v>
      </c>
      <c r="D47" s="87">
        <v>130</v>
      </c>
      <c r="E47" s="86">
        <v>130</v>
      </c>
      <c r="F47" s="87">
        <v>130</v>
      </c>
      <c r="G47" s="86">
        <v>130</v>
      </c>
      <c r="H47" s="87">
        <v>130</v>
      </c>
      <c r="I47" s="86">
        <v>130</v>
      </c>
      <c r="J47" s="87">
        <f>J46*Rekenblad!$E$30</f>
        <v>0</v>
      </c>
      <c r="K47" s="86"/>
      <c r="L47" s="87"/>
      <c r="M47" s="86"/>
      <c r="N47" s="87"/>
      <c r="O47" s="86"/>
      <c r="P47" s="87"/>
      <c r="Q47" s="86"/>
      <c r="R47" s="87"/>
      <c r="S47" s="86"/>
      <c r="T47" s="87"/>
      <c r="U47" s="86"/>
      <c r="V47" s="87"/>
    </row>
    <row r="48" spans="1:22" ht="11.25">
      <c r="A48" s="84">
        <v>57</v>
      </c>
      <c r="B48" s="85">
        <v>145</v>
      </c>
      <c r="C48" s="86">
        <v>135</v>
      </c>
      <c r="D48" s="87">
        <v>130</v>
      </c>
      <c r="E48" s="86">
        <v>130</v>
      </c>
      <c r="F48" s="87">
        <v>130</v>
      </c>
      <c r="G48" s="86">
        <v>130</v>
      </c>
      <c r="H48" s="87">
        <v>130</v>
      </c>
      <c r="I48" s="86">
        <f>I47*Rekenblad!$E$30</f>
        <v>0</v>
      </c>
      <c r="J48" s="87"/>
      <c r="K48" s="86"/>
      <c r="L48" s="87"/>
      <c r="M48" s="86"/>
      <c r="N48" s="87"/>
      <c r="O48" s="86"/>
      <c r="P48" s="87"/>
      <c r="Q48" s="86"/>
      <c r="R48" s="87"/>
      <c r="S48" s="86"/>
      <c r="T48" s="87"/>
      <c r="U48" s="86"/>
      <c r="V48" s="87"/>
    </row>
    <row r="49" spans="1:22" ht="11.25">
      <c r="A49" s="84">
        <v>58</v>
      </c>
      <c r="B49" s="85">
        <v>145</v>
      </c>
      <c r="C49" s="86">
        <v>135</v>
      </c>
      <c r="D49" s="87">
        <v>130</v>
      </c>
      <c r="E49" s="86">
        <v>130</v>
      </c>
      <c r="F49" s="87">
        <v>130</v>
      </c>
      <c r="G49" s="86">
        <v>130</v>
      </c>
      <c r="H49" s="87">
        <f>H48*Rekenblad!$E$30</f>
        <v>0</v>
      </c>
      <c r="I49" s="86"/>
      <c r="J49" s="87"/>
      <c r="K49" s="86"/>
      <c r="L49" s="87"/>
      <c r="M49" s="86"/>
      <c r="N49" s="87"/>
      <c r="O49" s="86"/>
      <c r="P49" s="87"/>
      <c r="Q49" s="86"/>
      <c r="R49" s="87"/>
      <c r="S49" s="86"/>
      <c r="T49" s="87"/>
      <c r="U49" s="86"/>
      <c r="V49" s="87"/>
    </row>
    <row r="50" spans="1:22" ht="11.25">
      <c r="A50" s="84">
        <v>59</v>
      </c>
      <c r="B50" s="85">
        <v>145</v>
      </c>
      <c r="C50" s="86">
        <v>135</v>
      </c>
      <c r="D50" s="87">
        <v>130</v>
      </c>
      <c r="E50" s="86">
        <v>130</v>
      </c>
      <c r="F50" s="87">
        <v>130</v>
      </c>
      <c r="G50" s="86">
        <f>G49*Rekenblad!$E$30</f>
        <v>0</v>
      </c>
      <c r="H50" s="87"/>
      <c r="I50" s="86"/>
      <c r="J50" s="87"/>
      <c r="K50" s="86"/>
      <c r="L50" s="87"/>
      <c r="M50" s="86"/>
      <c r="N50" s="87"/>
      <c r="O50" s="86"/>
      <c r="P50" s="87"/>
      <c r="Q50" s="86"/>
      <c r="R50" s="87"/>
      <c r="S50" s="86"/>
      <c r="T50" s="87"/>
      <c r="U50" s="86"/>
      <c r="V50" s="87"/>
    </row>
    <row r="51" spans="1:22" ht="11.25">
      <c r="A51" s="84">
        <v>60</v>
      </c>
      <c r="B51" s="85">
        <v>160</v>
      </c>
      <c r="C51" s="86">
        <v>150</v>
      </c>
      <c r="D51" s="87">
        <v>145</v>
      </c>
      <c r="E51" s="86">
        <v>145</v>
      </c>
      <c r="F51" s="287">
        <f>E51*Rekenblad!$E$30</f>
        <v>0</v>
      </c>
      <c r="G51" s="86"/>
      <c r="H51" s="87"/>
      <c r="I51" s="86"/>
      <c r="J51" s="87"/>
      <c r="K51" s="86"/>
      <c r="L51" s="87"/>
      <c r="M51" s="86"/>
      <c r="N51" s="87"/>
      <c r="O51" s="86"/>
      <c r="P51" s="87"/>
      <c r="Q51" s="86"/>
      <c r="R51" s="87"/>
      <c r="S51" s="86"/>
      <c r="T51" s="87"/>
      <c r="U51" s="86"/>
      <c r="V51" s="87"/>
    </row>
    <row r="52" spans="1:22" ht="11.25">
      <c r="A52" s="84">
        <v>61</v>
      </c>
      <c r="B52" s="85">
        <v>160</v>
      </c>
      <c r="C52" s="86">
        <v>150</v>
      </c>
      <c r="D52" s="87">
        <v>145</v>
      </c>
      <c r="E52" s="86">
        <f>E51*Rekenblad!$E$30</f>
        <v>0</v>
      </c>
      <c r="F52" s="87"/>
      <c r="G52" s="86"/>
      <c r="H52" s="87"/>
      <c r="I52" s="86"/>
      <c r="J52" s="87"/>
      <c r="K52" s="86"/>
      <c r="L52" s="87"/>
      <c r="M52" s="86"/>
      <c r="N52" s="87"/>
      <c r="O52" s="86"/>
      <c r="P52" s="87"/>
      <c r="Q52" s="86"/>
      <c r="R52" s="87"/>
      <c r="S52" s="86"/>
      <c r="T52" s="87"/>
      <c r="U52" s="86"/>
      <c r="V52" s="87"/>
    </row>
    <row r="53" spans="1:22" ht="11.25">
      <c r="A53" s="84">
        <v>62</v>
      </c>
      <c r="B53" s="85">
        <v>160</v>
      </c>
      <c r="C53" s="86">
        <v>150</v>
      </c>
      <c r="D53" s="87">
        <f>D52*Rekenblad!$E$30</f>
        <v>0</v>
      </c>
      <c r="E53" s="86"/>
      <c r="F53" s="87"/>
      <c r="G53" s="86"/>
      <c r="H53" s="87"/>
      <c r="I53" s="86"/>
      <c r="J53" s="87"/>
      <c r="K53" s="86"/>
      <c r="L53" s="87"/>
      <c r="M53" s="86"/>
      <c r="N53" s="87"/>
      <c r="O53" s="86"/>
      <c r="P53" s="87"/>
      <c r="Q53" s="86"/>
      <c r="R53" s="87"/>
      <c r="S53" s="86"/>
      <c r="T53" s="87"/>
      <c r="U53" s="86"/>
      <c r="V53" s="87"/>
    </row>
    <row r="54" spans="1:22" ht="11.25">
      <c r="A54" s="84">
        <v>63</v>
      </c>
      <c r="B54" s="85">
        <v>160</v>
      </c>
      <c r="C54" s="86">
        <f>C53*Rekenblad!$E$30</f>
        <v>0</v>
      </c>
      <c r="D54" s="87"/>
      <c r="E54" s="86"/>
      <c r="F54" s="87"/>
      <c r="G54" s="86"/>
      <c r="H54" s="87"/>
      <c r="I54" s="86"/>
      <c r="J54" s="87"/>
      <c r="K54" s="86"/>
      <c r="L54" s="87"/>
      <c r="M54" s="86"/>
      <c r="N54" s="87"/>
      <c r="O54" s="86"/>
      <c r="P54" s="87"/>
      <c r="Q54" s="86"/>
      <c r="R54" s="87"/>
      <c r="S54" s="86"/>
      <c r="T54" s="87"/>
      <c r="U54" s="86"/>
      <c r="V54" s="87"/>
    </row>
    <row r="55" spans="1:22" ht="11.25">
      <c r="A55" s="88">
        <v>64</v>
      </c>
      <c r="B55" s="89">
        <f>B54*Rekenblad!$E$30</f>
        <v>0</v>
      </c>
      <c r="C55" s="90"/>
      <c r="D55" s="91"/>
      <c r="E55" s="90"/>
      <c r="F55" s="91"/>
      <c r="G55" s="90"/>
      <c r="H55" s="91"/>
      <c r="I55" s="90"/>
      <c r="J55" s="91"/>
      <c r="K55" s="90"/>
      <c r="L55" s="91"/>
      <c r="M55" s="90"/>
      <c r="N55" s="91"/>
      <c r="O55" s="90"/>
      <c r="P55" s="91"/>
      <c r="Q55" s="90"/>
      <c r="R55" s="91"/>
      <c r="S55" s="90"/>
      <c r="T55" s="91"/>
      <c r="U55" s="90"/>
      <c r="V55" s="91"/>
    </row>
    <row r="56" ht="11.25">
      <c r="V56" s="92"/>
    </row>
  </sheetData>
  <sheetProtection password="DCBC" sheet="1" objects="1" scenarios="1"/>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Blad39"/>
  <dimension ref="A1:K339"/>
  <sheetViews>
    <sheetView showRowColHeaders="0" workbookViewId="0" topLeftCell="A4">
      <selection activeCell="B62" sqref="B62"/>
    </sheetView>
  </sheetViews>
  <sheetFormatPr defaultColWidth="9.00390625" defaultRowHeight="11.25"/>
  <cols>
    <col min="1" max="3" width="8.00390625" style="94" customWidth="1"/>
    <col min="4" max="4" width="8.375" style="94" bestFit="1" customWidth="1"/>
    <col min="5" max="16384" width="8.00390625" style="94" customWidth="1"/>
  </cols>
  <sheetData>
    <row r="1" spans="1:11" ht="15.75">
      <c r="A1" s="110"/>
      <c r="B1" s="111" t="s">
        <v>79</v>
      </c>
      <c r="C1" s="111" t="s">
        <v>80</v>
      </c>
      <c r="D1" s="110" t="s">
        <v>81</v>
      </c>
      <c r="E1" s="112"/>
      <c r="F1" s="113"/>
      <c r="G1" s="113"/>
      <c r="H1" s="112"/>
      <c r="I1" s="112"/>
      <c r="J1" s="113"/>
      <c r="K1" s="113"/>
    </row>
    <row r="2" spans="1:11" ht="15.75">
      <c r="A2" s="110">
        <v>15</v>
      </c>
      <c r="B2" s="108">
        <v>0.0914</v>
      </c>
      <c r="C2" s="108">
        <v>0.077</v>
      </c>
      <c r="D2" s="109">
        <f aca="true" t="shared" si="0" ref="D2:D33">0.83*C2+0.17*B2</f>
        <v>0.07944799999999999</v>
      </c>
      <c r="E2" s="114"/>
      <c r="F2" s="114"/>
      <c r="G2" s="114"/>
      <c r="H2" s="112"/>
      <c r="I2" s="114"/>
      <c r="J2" s="114"/>
      <c r="K2" s="114"/>
    </row>
    <row r="3" spans="1:11" ht="15.75">
      <c r="A3" s="110">
        <v>16</v>
      </c>
      <c r="B3" s="108">
        <v>0.0914</v>
      </c>
      <c r="C3" s="108">
        <v>0.077</v>
      </c>
      <c r="D3" s="109">
        <f t="shared" si="0"/>
        <v>0.07944799999999999</v>
      </c>
      <c r="E3" s="114"/>
      <c r="F3" s="114"/>
      <c r="G3" s="114"/>
      <c r="H3" s="112"/>
      <c r="I3" s="114"/>
      <c r="J3" s="114"/>
      <c r="K3" s="114"/>
    </row>
    <row r="4" spans="1:11" ht="15.75">
      <c r="A4" s="110">
        <v>17</v>
      </c>
      <c r="B4" s="108">
        <v>0.0914</v>
      </c>
      <c r="C4" s="108">
        <v>0.077</v>
      </c>
      <c r="D4" s="109">
        <f t="shared" si="0"/>
        <v>0.07944799999999999</v>
      </c>
      <c r="E4" s="114"/>
      <c r="F4" s="114"/>
      <c r="G4" s="114"/>
      <c r="H4" s="112"/>
      <c r="I4" s="114"/>
      <c r="J4" s="114"/>
      <c r="K4" s="114"/>
    </row>
    <row r="5" spans="1:11" ht="15.75">
      <c r="A5" s="110">
        <v>18</v>
      </c>
      <c r="B5" s="108">
        <v>0.0914</v>
      </c>
      <c r="C5" s="108">
        <v>0.077</v>
      </c>
      <c r="D5" s="109">
        <f t="shared" si="0"/>
        <v>0.07944799999999999</v>
      </c>
      <c r="E5" s="114"/>
      <c r="F5" s="114"/>
      <c r="G5" s="114"/>
      <c r="H5" s="112"/>
      <c r="I5" s="114"/>
      <c r="J5" s="114"/>
      <c r="K5" s="114"/>
    </row>
    <row r="6" spans="1:11" ht="15.75">
      <c r="A6" s="110">
        <v>19</v>
      </c>
      <c r="B6" s="108">
        <v>0.0914</v>
      </c>
      <c r="C6" s="108">
        <v>0.077</v>
      </c>
      <c r="D6" s="109">
        <f t="shared" si="0"/>
        <v>0.07944799999999999</v>
      </c>
      <c r="E6" s="114"/>
      <c r="F6" s="114"/>
      <c r="G6" s="114"/>
      <c r="H6" s="112"/>
      <c r="I6" s="114"/>
      <c r="J6" s="114"/>
      <c r="K6" s="114"/>
    </row>
    <row r="7" spans="1:11" ht="15.75">
      <c r="A7" s="110">
        <v>20</v>
      </c>
      <c r="B7" s="115">
        <v>0.0914</v>
      </c>
      <c r="C7" s="115">
        <v>0.077</v>
      </c>
      <c r="D7" s="116">
        <f t="shared" si="0"/>
        <v>0.07944799999999999</v>
      </c>
      <c r="E7" s="114"/>
      <c r="F7" s="114"/>
      <c r="G7" s="114"/>
      <c r="H7" s="112"/>
      <c r="I7" s="114"/>
      <c r="J7" s="114"/>
      <c r="K7" s="114"/>
    </row>
    <row r="8" spans="1:11" ht="15.75">
      <c r="A8" s="110">
        <v>21</v>
      </c>
      <c r="B8" s="115">
        <v>0.0932</v>
      </c>
      <c r="C8" s="115">
        <v>0.0822</v>
      </c>
      <c r="D8" s="116">
        <f t="shared" si="0"/>
        <v>0.08406999999999999</v>
      </c>
      <c r="E8" s="114"/>
      <c r="F8" s="114"/>
      <c r="G8" s="114"/>
      <c r="H8" s="112"/>
      <c r="I8" s="114"/>
      <c r="J8" s="114"/>
      <c r="K8" s="114"/>
    </row>
    <row r="9" spans="1:11" ht="15.75">
      <c r="A9" s="110">
        <v>22</v>
      </c>
      <c r="B9" s="115">
        <v>0.0716</v>
      </c>
      <c r="C9" s="115">
        <v>0.0685</v>
      </c>
      <c r="D9" s="116">
        <f t="shared" si="0"/>
        <v>0.069027</v>
      </c>
      <c r="E9" s="114"/>
      <c r="F9" s="114"/>
      <c r="G9" s="114"/>
      <c r="H9" s="112"/>
      <c r="I9" s="114"/>
      <c r="J9" s="114"/>
      <c r="K9" s="114"/>
    </row>
    <row r="10" spans="1:11" ht="15.75">
      <c r="A10" s="110">
        <v>23</v>
      </c>
      <c r="B10" s="115">
        <v>0.0526</v>
      </c>
      <c r="C10" s="115">
        <v>0.0513</v>
      </c>
      <c r="D10" s="116">
        <f t="shared" si="0"/>
        <v>0.051521</v>
      </c>
      <c r="E10" s="114"/>
      <c r="F10" s="114"/>
      <c r="G10" s="114"/>
      <c r="H10" s="112"/>
      <c r="I10" s="114"/>
      <c r="J10" s="114"/>
      <c r="K10" s="114"/>
    </row>
    <row r="11" spans="1:11" ht="15.75">
      <c r="A11" s="110">
        <v>24</v>
      </c>
      <c r="B11" s="115">
        <v>0.0463</v>
      </c>
      <c r="C11" s="115">
        <v>0.0472</v>
      </c>
      <c r="D11" s="116">
        <f t="shared" si="0"/>
        <v>0.047047</v>
      </c>
      <c r="E11" s="114"/>
      <c r="F11" s="114"/>
      <c r="G11" s="114"/>
      <c r="H11" s="112"/>
      <c r="I11" s="114"/>
      <c r="J11" s="114"/>
      <c r="K11" s="114"/>
    </row>
    <row r="12" spans="1:11" ht="15.75">
      <c r="A12" s="110">
        <v>25</v>
      </c>
      <c r="B12" s="115">
        <v>0.0292</v>
      </c>
      <c r="C12" s="115">
        <v>0.0261</v>
      </c>
      <c r="D12" s="116">
        <f t="shared" si="0"/>
        <v>0.026627</v>
      </c>
      <c r="E12" s="114"/>
      <c r="F12" s="114"/>
      <c r="G12" s="114"/>
      <c r="H12" s="112"/>
      <c r="I12" s="114"/>
      <c r="J12" s="114"/>
      <c r="K12" s="114"/>
    </row>
    <row r="13" spans="1:11" ht="15.75">
      <c r="A13" s="110">
        <v>26</v>
      </c>
      <c r="B13" s="115">
        <v>0.0407</v>
      </c>
      <c r="C13" s="115">
        <v>0.0337</v>
      </c>
      <c r="D13" s="116">
        <f t="shared" si="0"/>
        <v>0.03489</v>
      </c>
      <c r="E13" s="114"/>
      <c r="F13" s="114"/>
      <c r="G13" s="114"/>
      <c r="H13" s="112"/>
      <c r="I13" s="114"/>
      <c r="J13" s="114"/>
      <c r="K13" s="114"/>
    </row>
    <row r="14" spans="1:11" ht="15.75">
      <c r="A14" s="110">
        <v>27</v>
      </c>
      <c r="B14" s="115">
        <v>0.0383</v>
      </c>
      <c r="C14" s="115">
        <v>0.0314</v>
      </c>
      <c r="D14" s="116">
        <f t="shared" si="0"/>
        <v>0.032573</v>
      </c>
      <c r="E14" s="114"/>
      <c r="F14" s="114"/>
      <c r="G14" s="114"/>
      <c r="H14" s="112"/>
      <c r="I14" s="112"/>
      <c r="J14" s="112"/>
      <c r="K14" s="112"/>
    </row>
    <row r="15" spans="1:11" ht="15.75">
      <c r="A15" s="110">
        <v>28</v>
      </c>
      <c r="B15" s="115">
        <v>0.0371</v>
      </c>
      <c r="C15" s="115">
        <v>0.0281</v>
      </c>
      <c r="D15" s="116">
        <f t="shared" si="0"/>
        <v>0.02963</v>
      </c>
      <c r="E15" s="114"/>
      <c r="F15" s="114"/>
      <c r="G15" s="114"/>
      <c r="H15" s="112"/>
      <c r="I15" s="112"/>
      <c r="J15" s="112"/>
      <c r="K15" s="112"/>
    </row>
    <row r="16" spans="1:11" ht="12.75">
      <c r="A16" s="110">
        <v>29</v>
      </c>
      <c r="B16" s="115">
        <v>0.0353</v>
      </c>
      <c r="C16" s="115">
        <v>0.0254</v>
      </c>
      <c r="D16" s="116">
        <f t="shared" si="0"/>
        <v>0.027082999999999996</v>
      </c>
      <c r="E16" s="114"/>
      <c r="F16" s="114"/>
      <c r="G16" s="114"/>
      <c r="H16" s="114"/>
      <c r="I16" s="114"/>
      <c r="J16" s="114"/>
      <c r="K16" s="114"/>
    </row>
    <row r="17" spans="1:11" ht="12.75">
      <c r="A17" s="110">
        <v>30</v>
      </c>
      <c r="B17" s="115">
        <v>0.0324</v>
      </c>
      <c r="C17" s="115">
        <v>0.0225</v>
      </c>
      <c r="D17" s="116">
        <f t="shared" si="0"/>
        <v>0.024182999999999996</v>
      </c>
      <c r="E17" s="114"/>
      <c r="F17" s="114"/>
      <c r="G17" s="114"/>
      <c r="H17" s="114"/>
      <c r="I17" s="114"/>
      <c r="J17" s="114"/>
      <c r="K17" s="114"/>
    </row>
    <row r="18" spans="1:11" ht="12.75">
      <c r="A18" s="110">
        <v>31</v>
      </c>
      <c r="B18" s="115">
        <v>0.0316</v>
      </c>
      <c r="C18" s="115">
        <v>0.0201</v>
      </c>
      <c r="D18" s="116">
        <f t="shared" si="0"/>
        <v>0.022055</v>
      </c>
      <c r="E18" s="114"/>
      <c r="F18" s="114"/>
      <c r="G18" s="114"/>
      <c r="H18" s="114"/>
      <c r="I18" s="114"/>
      <c r="J18" s="114"/>
      <c r="K18" s="114"/>
    </row>
    <row r="19" spans="1:11" ht="12.75">
      <c r="A19" s="110">
        <v>32</v>
      </c>
      <c r="B19" s="115">
        <v>0.0297</v>
      </c>
      <c r="C19" s="115">
        <v>0.0162</v>
      </c>
      <c r="D19" s="116">
        <f t="shared" si="0"/>
        <v>0.018494999999999998</v>
      </c>
      <c r="E19" s="114"/>
      <c r="F19" s="114"/>
      <c r="G19" s="114"/>
      <c r="H19" s="114"/>
      <c r="I19" s="114"/>
      <c r="J19" s="114"/>
      <c r="K19" s="114"/>
    </row>
    <row r="20" spans="1:11" ht="12.75">
      <c r="A20" s="110">
        <v>33</v>
      </c>
      <c r="B20" s="115">
        <v>0.0285</v>
      </c>
      <c r="C20" s="115">
        <v>0.0109</v>
      </c>
      <c r="D20" s="116">
        <f t="shared" si="0"/>
        <v>0.013892</v>
      </c>
      <c r="E20" s="114"/>
      <c r="F20" s="114"/>
      <c r="G20" s="114"/>
      <c r="H20" s="114"/>
      <c r="I20" s="114"/>
      <c r="J20" s="114"/>
      <c r="K20" s="114"/>
    </row>
    <row r="21" spans="1:11" ht="12.75">
      <c r="A21" s="110">
        <v>34</v>
      </c>
      <c r="B21" s="115">
        <v>0.0266</v>
      </c>
      <c r="C21" s="115">
        <v>0.0153</v>
      </c>
      <c r="D21" s="116">
        <f t="shared" si="0"/>
        <v>0.017221</v>
      </c>
      <c r="E21" s="114"/>
      <c r="F21" s="114"/>
      <c r="G21" s="114"/>
      <c r="H21" s="114"/>
      <c r="I21" s="114"/>
      <c r="J21" s="114"/>
      <c r="K21" s="114"/>
    </row>
    <row r="22" spans="1:11" ht="12.75">
      <c r="A22" s="110">
        <v>35</v>
      </c>
      <c r="B22" s="115">
        <v>0.024</v>
      </c>
      <c r="C22" s="115">
        <v>0.0117</v>
      </c>
      <c r="D22" s="116">
        <f t="shared" si="0"/>
        <v>0.013791</v>
      </c>
      <c r="E22" s="114"/>
      <c r="F22" s="114"/>
      <c r="G22" s="114"/>
      <c r="H22" s="114"/>
      <c r="I22" s="114"/>
      <c r="J22" s="114"/>
      <c r="K22" s="114"/>
    </row>
    <row r="23" spans="1:11" ht="12.75">
      <c r="A23" s="110">
        <v>36</v>
      </c>
      <c r="B23" s="115">
        <v>0.0225</v>
      </c>
      <c r="C23" s="115">
        <v>0.0109</v>
      </c>
      <c r="D23" s="116">
        <f t="shared" si="0"/>
        <v>0.012872</v>
      </c>
      <c r="E23" s="114"/>
      <c r="F23" s="114"/>
      <c r="G23" s="114"/>
      <c r="H23" s="114"/>
      <c r="I23" s="114"/>
      <c r="J23" s="114"/>
      <c r="K23" s="114"/>
    </row>
    <row r="24" spans="1:11" ht="12.75">
      <c r="A24" s="110">
        <v>37</v>
      </c>
      <c r="B24" s="115">
        <v>0.0219</v>
      </c>
      <c r="C24" s="115">
        <v>0.0102</v>
      </c>
      <c r="D24" s="116">
        <f t="shared" si="0"/>
        <v>0.012189</v>
      </c>
      <c r="E24" s="114"/>
      <c r="F24" s="114"/>
      <c r="G24" s="114"/>
      <c r="H24" s="114"/>
      <c r="I24" s="114"/>
      <c r="J24" s="114"/>
      <c r="K24" s="114"/>
    </row>
    <row r="25" spans="1:11" ht="12.75">
      <c r="A25" s="110">
        <v>38</v>
      </c>
      <c r="B25" s="115">
        <v>0.0213</v>
      </c>
      <c r="C25" s="115">
        <v>0.0091</v>
      </c>
      <c r="D25" s="116">
        <f t="shared" si="0"/>
        <v>0.011174</v>
      </c>
      <c r="E25" s="114"/>
      <c r="F25" s="114"/>
      <c r="G25" s="114"/>
      <c r="H25" s="114"/>
      <c r="I25" s="114"/>
      <c r="J25" s="114"/>
      <c r="K25" s="114"/>
    </row>
    <row r="26" spans="1:11" ht="12.75">
      <c r="A26" s="110">
        <v>39</v>
      </c>
      <c r="B26" s="115">
        <v>0.0194</v>
      </c>
      <c r="C26" s="115">
        <v>0.0098</v>
      </c>
      <c r="D26" s="116">
        <f t="shared" si="0"/>
        <v>0.011432</v>
      </c>
      <c r="E26" s="114"/>
      <c r="F26" s="114"/>
      <c r="G26" s="114"/>
      <c r="H26" s="114"/>
      <c r="I26" s="114"/>
      <c r="J26" s="114"/>
      <c r="K26" s="114"/>
    </row>
    <row r="27" spans="1:11" ht="12.75">
      <c r="A27" s="110">
        <v>40</v>
      </c>
      <c r="B27" s="115">
        <v>0.0179</v>
      </c>
      <c r="C27" s="115">
        <v>0.0104</v>
      </c>
      <c r="D27" s="116">
        <f t="shared" si="0"/>
        <v>0.011675</v>
      </c>
      <c r="E27" s="114"/>
      <c r="F27" s="114"/>
      <c r="G27" s="114"/>
      <c r="H27" s="114"/>
      <c r="I27" s="114"/>
      <c r="J27" s="114"/>
      <c r="K27" s="114"/>
    </row>
    <row r="28" spans="1:11" ht="12.75">
      <c r="A28" s="110">
        <v>41</v>
      </c>
      <c r="B28" s="115">
        <v>0.0158</v>
      </c>
      <c r="C28" s="115">
        <v>0.0089</v>
      </c>
      <c r="D28" s="116">
        <f t="shared" si="0"/>
        <v>0.010073</v>
      </c>
      <c r="E28" s="114"/>
      <c r="F28" s="114"/>
      <c r="G28" s="114"/>
      <c r="H28" s="114"/>
      <c r="I28" s="114"/>
      <c r="J28" s="114"/>
      <c r="K28" s="114"/>
    </row>
    <row r="29" spans="1:11" ht="12.75">
      <c r="A29" s="110">
        <v>42</v>
      </c>
      <c r="B29" s="115">
        <v>0.0163</v>
      </c>
      <c r="C29" s="115">
        <v>0.0093</v>
      </c>
      <c r="D29" s="116">
        <f t="shared" si="0"/>
        <v>0.01049</v>
      </c>
      <c r="E29" s="114"/>
      <c r="F29" s="114"/>
      <c r="G29" s="114"/>
      <c r="H29" s="114"/>
      <c r="I29" s="114"/>
      <c r="J29" s="114"/>
      <c r="K29" s="114"/>
    </row>
    <row r="30" spans="1:11" ht="12.75">
      <c r="A30" s="110">
        <v>43</v>
      </c>
      <c r="B30" s="115">
        <v>0.0142</v>
      </c>
      <c r="C30" s="115">
        <v>0.0098</v>
      </c>
      <c r="D30" s="116">
        <f t="shared" si="0"/>
        <v>0.010547999999999998</v>
      </c>
      <c r="E30" s="114"/>
      <c r="F30" s="114"/>
      <c r="G30" s="114"/>
      <c r="H30" s="114"/>
      <c r="I30" s="114"/>
      <c r="J30" s="114"/>
      <c r="K30" s="114"/>
    </row>
    <row r="31" spans="1:11" ht="12.75">
      <c r="A31" s="110">
        <v>44</v>
      </c>
      <c r="B31" s="115">
        <v>0.0133</v>
      </c>
      <c r="C31" s="115">
        <v>0.0098</v>
      </c>
      <c r="D31" s="116">
        <f t="shared" si="0"/>
        <v>0.010394999999999998</v>
      </c>
      <c r="E31" s="114"/>
      <c r="F31" s="114"/>
      <c r="G31" s="114"/>
      <c r="H31" s="114"/>
      <c r="I31" s="114"/>
      <c r="J31" s="114"/>
      <c r="K31" s="114"/>
    </row>
    <row r="32" spans="1:11" ht="12.75">
      <c r="A32" s="110">
        <v>45</v>
      </c>
      <c r="B32" s="115">
        <v>0.0128</v>
      </c>
      <c r="C32" s="115">
        <v>0.0093</v>
      </c>
      <c r="D32" s="116">
        <f t="shared" si="0"/>
        <v>0.009895</v>
      </c>
      <c r="E32" s="114"/>
      <c r="F32" s="114"/>
      <c r="G32" s="114"/>
      <c r="H32" s="114"/>
      <c r="I32" s="114"/>
      <c r="J32" s="114"/>
      <c r="K32" s="114"/>
    </row>
    <row r="33" spans="1:11" ht="12.75">
      <c r="A33" s="110">
        <v>46</v>
      </c>
      <c r="B33" s="115">
        <v>0.0117</v>
      </c>
      <c r="C33" s="115">
        <v>0.009</v>
      </c>
      <c r="D33" s="116">
        <f t="shared" si="0"/>
        <v>0.009458999999999999</v>
      </c>
      <c r="E33" s="114"/>
      <c r="F33" s="114"/>
      <c r="G33" s="114"/>
      <c r="H33" s="114"/>
      <c r="I33" s="114"/>
      <c r="J33" s="114"/>
      <c r="K33" s="114"/>
    </row>
    <row r="34" spans="1:11" ht="12.75">
      <c r="A34" s="110">
        <v>47</v>
      </c>
      <c r="B34" s="115">
        <v>0.011</v>
      </c>
      <c r="C34" s="115">
        <v>0.0097</v>
      </c>
      <c r="D34" s="116">
        <f aca="true" t="shared" si="1" ref="D34:D51">0.83*C34+0.17*B34</f>
        <v>0.009921</v>
      </c>
      <c r="E34" s="114"/>
      <c r="F34" s="114"/>
      <c r="G34" s="114"/>
      <c r="H34" s="114"/>
      <c r="I34" s="114"/>
      <c r="J34" s="114"/>
      <c r="K34" s="114"/>
    </row>
    <row r="35" spans="1:11" ht="12.75">
      <c r="A35" s="110">
        <v>48</v>
      </c>
      <c r="B35" s="115">
        <v>0.0096</v>
      </c>
      <c r="C35" s="115">
        <v>0.0079</v>
      </c>
      <c r="D35" s="116">
        <f t="shared" si="1"/>
        <v>0.008189</v>
      </c>
      <c r="E35" s="114"/>
      <c r="F35" s="114"/>
      <c r="G35" s="114"/>
      <c r="H35" s="114"/>
      <c r="I35" s="114"/>
      <c r="J35" s="114"/>
      <c r="K35" s="114"/>
    </row>
    <row r="36" spans="1:11" ht="12.75">
      <c r="A36" s="110">
        <v>49</v>
      </c>
      <c r="B36" s="115">
        <v>0.0089</v>
      </c>
      <c r="C36" s="115">
        <v>0.0047</v>
      </c>
      <c r="D36" s="116">
        <f t="shared" si="1"/>
        <v>0.005414</v>
      </c>
      <c r="E36" s="114"/>
      <c r="F36" s="114"/>
      <c r="G36" s="114"/>
      <c r="H36" s="114"/>
      <c r="I36" s="114"/>
      <c r="J36" s="114"/>
      <c r="K36" s="114"/>
    </row>
    <row r="37" spans="1:11" ht="12.75">
      <c r="A37" s="110">
        <v>50</v>
      </c>
      <c r="B37" s="115">
        <v>0.0089</v>
      </c>
      <c r="C37" s="115">
        <v>0.0077</v>
      </c>
      <c r="D37" s="116">
        <f t="shared" si="1"/>
        <v>0.007904</v>
      </c>
      <c r="E37" s="114"/>
      <c r="F37" s="114"/>
      <c r="G37" s="114"/>
      <c r="H37" s="114"/>
      <c r="I37" s="114"/>
      <c r="J37" s="114"/>
      <c r="K37" s="114"/>
    </row>
    <row r="38" spans="1:11" ht="12.75">
      <c r="A38" s="110">
        <v>51</v>
      </c>
      <c r="B38" s="115">
        <v>0.0084</v>
      </c>
      <c r="C38" s="115">
        <v>0.0068</v>
      </c>
      <c r="D38" s="116">
        <f t="shared" si="1"/>
        <v>0.007072</v>
      </c>
      <c r="E38" s="114"/>
      <c r="F38" s="114"/>
      <c r="G38" s="114"/>
      <c r="H38" s="114"/>
      <c r="I38" s="114"/>
      <c r="J38" s="114"/>
      <c r="K38" s="114"/>
    </row>
    <row r="39" spans="1:11" ht="12.75">
      <c r="A39" s="110">
        <v>52</v>
      </c>
      <c r="B39" s="115">
        <v>0.0079</v>
      </c>
      <c r="C39" s="115">
        <v>0.005</v>
      </c>
      <c r="D39" s="116">
        <f t="shared" si="1"/>
        <v>0.0054930000000000005</v>
      </c>
      <c r="E39" s="114"/>
      <c r="F39" s="114"/>
      <c r="G39" s="114"/>
      <c r="H39" s="114"/>
      <c r="I39" s="114"/>
      <c r="J39" s="114"/>
      <c r="K39" s="114"/>
    </row>
    <row r="40" spans="1:11" ht="12.75">
      <c r="A40" s="110">
        <v>53</v>
      </c>
      <c r="B40" s="115">
        <v>0.008</v>
      </c>
      <c r="C40" s="115">
        <v>0.0038</v>
      </c>
      <c r="D40" s="116">
        <f t="shared" si="1"/>
        <v>0.004514</v>
      </c>
      <c r="E40" s="114"/>
      <c r="F40" s="114"/>
      <c r="G40" s="114"/>
      <c r="H40" s="114"/>
      <c r="I40" s="114"/>
      <c r="J40" s="114"/>
      <c r="K40" s="114"/>
    </row>
    <row r="41" spans="1:11" ht="12.75">
      <c r="A41" s="110">
        <v>54</v>
      </c>
      <c r="B41" s="115">
        <v>0.0076</v>
      </c>
      <c r="C41" s="115">
        <v>0.0041</v>
      </c>
      <c r="D41" s="116">
        <f t="shared" si="1"/>
        <v>0.004695</v>
      </c>
      <c r="E41" s="114"/>
      <c r="F41" s="114"/>
      <c r="G41" s="114"/>
      <c r="H41" s="114"/>
      <c r="I41" s="114"/>
      <c r="J41" s="114"/>
      <c r="K41" s="114"/>
    </row>
    <row r="42" spans="1:11" ht="12.75">
      <c r="A42" s="110">
        <v>55</v>
      </c>
      <c r="B42" s="115">
        <v>0.0117</v>
      </c>
      <c r="C42" s="115">
        <v>0.0109</v>
      </c>
      <c r="D42" s="116">
        <f t="shared" si="1"/>
        <v>0.011036</v>
      </c>
      <c r="E42" s="114"/>
      <c r="F42" s="114"/>
      <c r="G42" s="114"/>
      <c r="H42" s="114"/>
      <c r="I42" s="114"/>
      <c r="J42" s="114"/>
      <c r="K42" s="114"/>
    </row>
    <row r="43" spans="1:11" ht="12.75">
      <c r="A43" s="110">
        <v>56</v>
      </c>
      <c r="B43" s="115">
        <v>0.0062</v>
      </c>
      <c r="C43" s="115">
        <v>0.0047</v>
      </c>
      <c r="D43" s="116">
        <f t="shared" si="1"/>
        <v>0.004955</v>
      </c>
      <c r="E43" s="114"/>
      <c r="F43" s="114"/>
      <c r="G43" s="114"/>
      <c r="H43" s="114"/>
      <c r="I43" s="114"/>
      <c r="J43" s="114"/>
      <c r="K43" s="114"/>
    </row>
    <row r="44" spans="1:11" ht="12.75">
      <c r="A44" s="110">
        <v>57</v>
      </c>
      <c r="B44" s="115">
        <v>0.0066</v>
      </c>
      <c r="C44" s="115">
        <v>-0.0013</v>
      </c>
      <c r="D44" s="116">
        <f t="shared" si="1"/>
        <v>4.3000000000000286E-05</v>
      </c>
      <c r="E44" s="114"/>
      <c r="F44" s="114"/>
      <c r="G44" s="114"/>
      <c r="H44" s="114"/>
      <c r="I44" s="114"/>
      <c r="J44" s="114"/>
      <c r="K44" s="114"/>
    </row>
    <row r="45" spans="1:11" ht="12.75">
      <c r="A45" s="110">
        <v>58</v>
      </c>
      <c r="B45" s="115">
        <v>0.0039</v>
      </c>
      <c r="C45" s="115">
        <v>0.0013</v>
      </c>
      <c r="D45" s="116">
        <f t="shared" si="1"/>
        <v>0.001742</v>
      </c>
      <c r="E45" s="114"/>
      <c r="F45" s="114"/>
      <c r="G45" s="114"/>
      <c r="H45" s="114"/>
      <c r="I45" s="114"/>
      <c r="J45" s="114"/>
      <c r="K45" s="114"/>
    </row>
    <row r="46" spans="1:11" ht="12.75">
      <c r="A46" s="110">
        <v>59</v>
      </c>
      <c r="B46" s="115">
        <v>-0.0008</v>
      </c>
      <c r="C46" s="115">
        <v>-0.0014</v>
      </c>
      <c r="D46" s="116">
        <f t="shared" si="1"/>
        <v>-0.001298</v>
      </c>
      <c r="E46" s="114"/>
      <c r="F46" s="114"/>
      <c r="G46" s="114"/>
      <c r="H46" s="114"/>
      <c r="I46" s="114"/>
      <c r="J46" s="114"/>
      <c r="K46" s="114"/>
    </row>
    <row r="47" spans="1:11" ht="12.75">
      <c r="A47" s="110">
        <v>60</v>
      </c>
      <c r="B47" s="117">
        <v>0</v>
      </c>
      <c r="C47" s="117">
        <v>0</v>
      </c>
      <c r="D47" s="118">
        <f t="shared" si="1"/>
        <v>0</v>
      </c>
      <c r="E47" s="114"/>
      <c r="F47" s="114"/>
      <c r="G47" s="114"/>
      <c r="H47" s="114"/>
      <c r="I47" s="114"/>
      <c r="J47" s="114"/>
      <c r="K47" s="114"/>
    </row>
    <row r="48" spans="1:11" ht="12.75">
      <c r="A48" s="110">
        <v>61</v>
      </c>
      <c r="B48" s="117">
        <v>0</v>
      </c>
      <c r="C48" s="117">
        <v>0</v>
      </c>
      <c r="D48" s="118">
        <f t="shared" si="1"/>
        <v>0</v>
      </c>
      <c r="E48" s="114"/>
      <c r="F48" s="114"/>
      <c r="G48" s="114"/>
      <c r="H48" s="114"/>
      <c r="I48" s="114"/>
      <c r="J48" s="114"/>
      <c r="K48" s="114"/>
    </row>
    <row r="49" spans="1:11" ht="12.75">
      <c r="A49" s="110">
        <v>62</v>
      </c>
      <c r="B49" s="117">
        <v>0</v>
      </c>
      <c r="C49" s="117">
        <v>0</v>
      </c>
      <c r="D49" s="118">
        <f t="shared" si="1"/>
        <v>0</v>
      </c>
      <c r="E49" s="114"/>
      <c r="F49" s="114"/>
      <c r="G49" s="114"/>
      <c r="H49" s="114"/>
      <c r="I49" s="114"/>
      <c r="J49" s="114"/>
      <c r="K49" s="114"/>
    </row>
    <row r="50" spans="1:11" ht="12.75">
      <c r="A50" s="110">
        <v>63</v>
      </c>
      <c r="B50" s="117">
        <v>0</v>
      </c>
      <c r="C50" s="117">
        <v>0</v>
      </c>
      <c r="D50" s="118">
        <f t="shared" si="1"/>
        <v>0</v>
      </c>
      <c r="E50" s="114"/>
      <c r="F50" s="114"/>
      <c r="G50" s="114"/>
      <c r="H50" s="114"/>
      <c r="I50" s="114"/>
      <c r="J50" s="114"/>
      <c r="K50" s="114"/>
    </row>
    <row r="51" spans="1:11" ht="12.75">
      <c r="A51" s="110">
        <v>64</v>
      </c>
      <c r="B51" s="117">
        <v>0</v>
      </c>
      <c r="C51" s="117">
        <v>0</v>
      </c>
      <c r="D51" s="118">
        <f t="shared" si="1"/>
        <v>0</v>
      </c>
      <c r="E51" s="114"/>
      <c r="F51" s="114"/>
      <c r="G51" s="114"/>
      <c r="H51" s="114"/>
      <c r="I51" s="114"/>
      <c r="J51" s="114"/>
      <c r="K51" s="114"/>
    </row>
    <row r="52" spans="1:11" ht="12.75">
      <c r="A52" s="114"/>
      <c r="B52" s="114"/>
      <c r="C52" s="114"/>
      <c r="D52" s="114"/>
      <c r="E52" s="114"/>
      <c r="F52" s="114"/>
      <c r="G52" s="114"/>
      <c r="H52" s="114"/>
      <c r="I52" s="114"/>
      <c r="J52" s="114"/>
      <c r="K52" s="114"/>
    </row>
    <row r="53" spans="1:11" ht="12.75">
      <c r="A53" s="114"/>
      <c r="B53" s="114"/>
      <c r="C53" s="114"/>
      <c r="D53" s="114"/>
      <c r="E53" s="114"/>
      <c r="F53" s="114"/>
      <c r="G53" s="114"/>
      <c r="H53" s="114"/>
      <c r="I53" s="114"/>
      <c r="J53" s="114"/>
      <c r="K53" s="114"/>
    </row>
    <row r="54" spans="1:11" ht="12.75">
      <c r="A54" s="114"/>
      <c r="B54" s="114"/>
      <c r="C54" s="114"/>
      <c r="D54" s="114"/>
      <c r="E54" s="114"/>
      <c r="F54" s="114"/>
      <c r="G54" s="114"/>
      <c r="H54" s="114"/>
      <c r="I54" s="114"/>
      <c r="J54" s="114"/>
      <c r="K54" s="114"/>
    </row>
    <row r="55" spans="1:11" ht="12.75">
      <c r="A55" s="114"/>
      <c r="B55" s="114"/>
      <c r="C55" s="114"/>
      <c r="D55" s="114"/>
      <c r="E55" s="114"/>
      <c r="F55" s="114"/>
      <c r="G55" s="114"/>
      <c r="H55" s="114"/>
      <c r="I55" s="114"/>
      <c r="J55" s="114"/>
      <c r="K55" s="114"/>
    </row>
    <row r="56" spans="1:11" ht="12.75">
      <c r="A56" s="114"/>
      <c r="B56" s="114"/>
      <c r="C56" s="114"/>
      <c r="D56" s="114"/>
      <c r="E56" s="114"/>
      <c r="F56" s="114"/>
      <c r="G56" s="114"/>
      <c r="H56" s="114"/>
      <c r="I56" s="114"/>
      <c r="J56" s="114"/>
      <c r="K56" s="114"/>
    </row>
    <row r="57" spans="1:11" ht="12.75">
      <c r="A57" s="114"/>
      <c r="B57" s="114"/>
      <c r="C57" s="114"/>
      <c r="D57" s="114"/>
      <c r="E57" s="114"/>
      <c r="F57" s="114"/>
      <c r="G57" s="114"/>
      <c r="H57" s="114"/>
      <c r="I57" s="114"/>
      <c r="J57" s="114"/>
      <c r="K57" s="114"/>
    </row>
    <row r="58" spans="1:11" ht="12.75">
      <c r="A58" s="114"/>
      <c r="B58" s="114"/>
      <c r="C58" s="114"/>
      <c r="D58" s="114"/>
      <c r="E58" s="114"/>
      <c r="F58" s="114"/>
      <c r="G58" s="114"/>
      <c r="H58" s="114"/>
      <c r="I58" s="114"/>
      <c r="J58" s="114"/>
      <c r="K58" s="114"/>
    </row>
    <row r="59" spans="1:11" ht="12.75">
      <c r="A59" s="114"/>
      <c r="B59" s="114"/>
      <c r="C59" s="114"/>
      <c r="D59" s="114"/>
      <c r="E59" s="114"/>
      <c r="F59" s="114"/>
      <c r="G59" s="114"/>
      <c r="H59" s="114"/>
      <c r="I59" s="114"/>
      <c r="J59" s="114"/>
      <c r="K59" s="114"/>
    </row>
    <row r="60" spans="1:11" ht="12.75">
      <c r="A60" s="114"/>
      <c r="B60" s="114"/>
      <c r="C60" s="114"/>
      <c r="D60" s="114"/>
      <c r="E60" s="114"/>
      <c r="F60" s="114"/>
      <c r="G60" s="114"/>
      <c r="H60" s="114"/>
      <c r="I60" s="114"/>
      <c r="J60" s="114"/>
      <c r="K60" s="114"/>
    </row>
    <row r="61" spans="1:11" ht="12.75">
      <c r="A61" s="114"/>
      <c r="B61" s="114"/>
      <c r="C61" s="114"/>
      <c r="D61" s="114"/>
      <c r="E61" s="114"/>
      <c r="F61" s="114"/>
      <c r="G61" s="114"/>
      <c r="H61" s="114"/>
      <c r="I61" s="114"/>
      <c r="J61" s="114"/>
      <c r="K61" s="114"/>
    </row>
    <row r="62" spans="1:11" ht="12.75">
      <c r="A62" s="114"/>
      <c r="B62" s="114"/>
      <c r="C62" s="114"/>
      <c r="D62" s="114"/>
      <c r="E62" s="114"/>
      <c r="F62" s="114"/>
      <c r="G62" s="114"/>
      <c r="H62" s="114"/>
      <c r="I62" s="114"/>
      <c r="J62" s="114"/>
      <c r="K62" s="114"/>
    </row>
    <row r="63" spans="1:11" ht="12.75">
      <c r="A63" s="114"/>
      <c r="B63" s="114"/>
      <c r="C63" s="114"/>
      <c r="D63" s="114"/>
      <c r="E63" s="114"/>
      <c r="F63" s="114"/>
      <c r="G63" s="114"/>
      <c r="H63" s="114"/>
      <c r="I63" s="114"/>
      <c r="J63" s="114"/>
      <c r="K63" s="114"/>
    </row>
    <row r="64" spans="1:11" ht="12.75">
      <c r="A64" s="114"/>
      <c r="B64" s="114"/>
      <c r="C64" s="114"/>
      <c r="D64" s="114"/>
      <c r="E64" s="114"/>
      <c r="F64" s="114"/>
      <c r="G64" s="114"/>
      <c r="H64" s="114"/>
      <c r="I64" s="114"/>
      <c r="J64" s="114"/>
      <c r="K64" s="114"/>
    </row>
    <row r="65" spans="1:11" ht="12.75">
      <c r="A65" s="114"/>
      <c r="B65" s="114"/>
      <c r="C65" s="114"/>
      <c r="D65" s="114"/>
      <c r="E65" s="114"/>
      <c r="F65" s="114"/>
      <c r="G65" s="114"/>
      <c r="H65" s="114"/>
      <c r="I65" s="114"/>
      <c r="J65" s="114"/>
      <c r="K65" s="114"/>
    </row>
    <row r="66" spans="1:11" ht="12.75">
      <c r="A66" s="114"/>
      <c r="B66" s="114"/>
      <c r="C66" s="114"/>
      <c r="D66" s="114"/>
      <c r="E66" s="114"/>
      <c r="F66" s="114"/>
      <c r="G66" s="114"/>
      <c r="H66" s="114"/>
      <c r="I66" s="114"/>
      <c r="J66" s="114"/>
      <c r="K66" s="114"/>
    </row>
    <row r="67" spans="1:11" ht="12.75">
      <c r="A67" s="114"/>
      <c r="B67" s="114"/>
      <c r="C67" s="114"/>
      <c r="D67" s="114"/>
      <c r="E67" s="114"/>
      <c r="F67" s="114"/>
      <c r="G67" s="114"/>
      <c r="H67" s="114"/>
      <c r="I67" s="114"/>
      <c r="J67" s="114"/>
      <c r="K67" s="114"/>
    </row>
    <row r="68" spans="1:11" ht="12.75">
      <c r="A68" s="114"/>
      <c r="B68" s="114"/>
      <c r="C68" s="114"/>
      <c r="D68" s="114"/>
      <c r="E68" s="114"/>
      <c r="F68" s="114"/>
      <c r="G68" s="114"/>
      <c r="H68" s="114"/>
      <c r="I68" s="114"/>
      <c r="J68" s="114"/>
      <c r="K68" s="114"/>
    </row>
    <row r="69" spans="1:11" ht="12.75">
      <c r="A69" s="114"/>
      <c r="B69" s="114"/>
      <c r="C69" s="114"/>
      <c r="D69" s="114"/>
      <c r="E69" s="114"/>
      <c r="F69" s="114"/>
      <c r="G69" s="114"/>
      <c r="H69" s="114"/>
      <c r="I69" s="114"/>
      <c r="J69" s="114"/>
      <c r="K69" s="114"/>
    </row>
    <row r="70" spans="1:11" ht="12.75">
      <c r="A70" s="114"/>
      <c r="B70" s="114"/>
      <c r="C70" s="114"/>
      <c r="D70" s="114"/>
      <c r="E70" s="114"/>
      <c r="F70" s="114"/>
      <c r="G70" s="114"/>
      <c r="H70" s="114"/>
      <c r="I70" s="114"/>
      <c r="J70" s="114"/>
      <c r="K70" s="114"/>
    </row>
    <row r="71" spans="1:11" ht="12.75">
      <c r="A71" s="114"/>
      <c r="B71" s="114"/>
      <c r="C71" s="114"/>
      <c r="D71" s="114"/>
      <c r="E71" s="114"/>
      <c r="F71" s="114"/>
      <c r="G71" s="114"/>
      <c r="H71" s="114"/>
      <c r="I71" s="114"/>
      <c r="J71" s="114"/>
      <c r="K71" s="114"/>
    </row>
    <row r="72" spans="1:11" ht="12.75">
      <c r="A72" s="114"/>
      <c r="B72" s="114"/>
      <c r="C72" s="114"/>
      <c r="D72" s="114"/>
      <c r="E72" s="114"/>
      <c r="F72" s="114"/>
      <c r="G72" s="114"/>
      <c r="H72" s="114"/>
      <c r="I72" s="114"/>
      <c r="J72" s="114"/>
      <c r="K72" s="114"/>
    </row>
    <row r="73" spans="1:11" ht="12.75">
      <c r="A73" s="114"/>
      <c r="B73" s="114"/>
      <c r="C73" s="114"/>
      <c r="D73" s="114"/>
      <c r="E73" s="114"/>
      <c r="F73" s="114"/>
      <c r="G73" s="114"/>
      <c r="H73" s="114"/>
      <c r="I73" s="114"/>
      <c r="J73" s="114"/>
      <c r="K73" s="114"/>
    </row>
    <row r="74" spans="1:11" ht="12.75">
      <c r="A74" s="114"/>
      <c r="B74" s="114"/>
      <c r="C74" s="114"/>
      <c r="D74" s="114"/>
      <c r="E74" s="114"/>
      <c r="F74" s="114"/>
      <c r="G74" s="114"/>
      <c r="H74" s="114"/>
      <c r="I74" s="114"/>
      <c r="J74" s="114"/>
      <c r="K74" s="114"/>
    </row>
    <row r="75" spans="1:11" ht="12.75">
      <c r="A75" s="114"/>
      <c r="B75" s="114"/>
      <c r="C75" s="114"/>
      <c r="D75" s="114"/>
      <c r="E75" s="114"/>
      <c r="F75" s="114"/>
      <c r="G75" s="114"/>
      <c r="H75" s="114"/>
      <c r="I75" s="114"/>
      <c r="J75" s="114"/>
      <c r="K75" s="114"/>
    </row>
    <row r="76" spans="1:11" ht="12.75">
      <c r="A76" s="114"/>
      <c r="B76" s="114"/>
      <c r="C76" s="114"/>
      <c r="D76" s="114"/>
      <c r="E76" s="114"/>
      <c r="F76" s="114"/>
      <c r="G76" s="114"/>
      <c r="H76" s="114"/>
      <c r="I76" s="114"/>
      <c r="J76" s="114"/>
      <c r="K76" s="114"/>
    </row>
    <row r="77" spans="1:11" ht="12.75">
      <c r="A77" s="114"/>
      <c r="B77" s="114"/>
      <c r="C77" s="114"/>
      <c r="D77" s="114"/>
      <c r="E77" s="114"/>
      <c r="F77" s="114"/>
      <c r="G77" s="114"/>
      <c r="H77" s="114"/>
      <c r="I77" s="114"/>
      <c r="J77" s="114"/>
      <c r="K77" s="114"/>
    </row>
    <row r="78" spans="1:11" ht="12.75">
      <c r="A78" s="114"/>
      <c r="B78" s="114"/>
      <c r="C78" s="114"/>
      <c r="D78" s="114"/>
      <c r="E78" s="114"/>
      <c r="F78" s="114"/>
      <c r="G78" s="114"/>
      <c r="H78" s="114"/>
      <c r="I78" s="114"/>
      <c r="J78" s="114"/>
      <c r="K78" s="114"/>
    </row>
    <row r="79" spans="1:11" ht="12.75">
      <c r="A79" s="114"/>
      <c r="B79" s="114"/>
      <c r="C79" s="114"/>
      <c r="D79" s="114"/>
      <c r="E79" s="114"/>
      <c r="F79" s="114"/>
      <c r="G79" s="114"/>
      <c r="H79" s="114"/>
      <c r="I79" s="114"/>
      <c r="J79" s="114"/>
      <c r="K79" s="114"/>
    </row>
    <row r="80" spans="1:11" ht="12.75">
      <c r="A80" s="114"/>
      <c r="B80" s="114"/>
      <c r="C80" s="114"/>
      <c r="D80" s="114"/>
      <c r="E80" s="114"/>
      <c r="F80" s="114"/>
      <c r="G80" s="114"/>
      <c r="H80" s="114"/>
      <c r="I80" s="114"/>
      <c r="J80" s="114"/>
      <c r="K80" s="114"/>
    </row>
    <row r="81" spans="1:11" ht="12.75">
      <c r="A81" s="114"/>
      <c r="B81" s="114"/>
      <c r="C81" s="114"/>
      <c r="D81" s="114"/>
      <c r="E81" s="114"/>
      <c r="F81" s="114"/>
      <c r="G81" s="114"/>
      <c r="H81" s="114"/>
      <c r="I81" s="114"/>
      <c r="J81" s="114"/>
      <c r="K81" s="114"/>
    </row>
    <row r="82" spans="1:11" ht="12.75">
      <c r="A82" s="114"/>
      <c r="B82" s="114"/>
      <c r="C82" s="114"/>
      <c r="D82" s="114"/>
      <c r="E82" s="114"/>
      <c r="F82" s="114"/>
      <c r="G82" s="114"/>
      <c r="H82" s="114"/>
      <c r="I82" s="114"/>
      <c r="J82" s="114"/>
      <c r="K82" s="114"/>
    </row>
    <row r="83" spans="1:11" ht="12.75">
      <c r="A83" s="114"/>
      <c r="B83" s="114"/>
      <c r="C83" s="114"/>
      <c r="D83" s="114"/>
      <c r="E83" s="114"/>
      <c r="F83" s="114"/>
      <c r="G83" s="114"/>
      <c r="H83" s="114"/>
      <c r="I83" s="114"/>
      <c r="J83" s="114"/>
      <c r="K83" s="114"/>
    </row>
    <row r="84" spans="1:11" ht="12.75">
      <c r="A84" s="114"/>
      <c r="B84" s="114"/>
      <c r="C84" s="114"/>
      <c r="D84" s="114"/>
      <c r="E84" s="114"/>
      <c r="F84" s="114"/>
      <c r="G84" s="114"/>
      <c r="H84" s="114"/>
      <c r="I84" s="114"/>
      <c r="J84" s="114"/>
      <c r="K84" s="114"/>
    </row>
    <row r="85" spans="1:11" ht="12.75">
      <c r="A85" s="114"/>
      <c r="B85" s="114"/>
      <c r="C85" s="114"/>
      <c r="D85" s="114"/>
      <c r="E85" s="114"/>
      <c r="F85" s="114"/>
      <c r="G85" s="114"/>
      <c r="H85" s="114"/>
      <c r="I85" s="114"/>
      <c r="J85" s="114"/>
      <c r="K85" s="114"/>
    </row>
    <row r="86" spans="1:11" ht="12.75">
      <c r="A86" s="114"/>
      <c r="B86" s="114"/>
      <c r="C86" s="114"/>
      <c r="D86" s="114"/>
      <c r="E86" s="114"/>
      <c r="F86" s="114"/>
      <c r="G86" s="114"/>
      <c r="H86" s="114"/>
      <c r="I86" s="114"/>
      <c r="J86" s="114"/>
      <c r="K86" s="114"/>
    </row>
    <row r="87" spans="1:11" ht="12.75">
      <c r="A87" s="114"/>
      <c r="B87" s="114"/>
      <c r="C87" s="114"/>
      <c r="D87" s="114"/>
      <c r="E87" s="114"/>
      <c r="F87" s="114"/>
      <c r="G87" s="114"/>
      <c r="H87" s="114"/>
      <c r="I87" s="114"/>
      <c r="J87" s="114"/>
      <c r="K87" s="114"/>
    </row>
    <row r="88" spans="1:11" ht="12.75">
      <c r="A88" s="114"/>
      <c r="B88" s="114"/>
      <c r="C88" s="114"/>
      <c r="D88" s="114"/>
      <c r="E88" s="114"/>
      <c r="F88" s="114"/>
      <c r="G88" s="114"/>
      <c r="H88" s="114"/>
      <c r="I88" s="114"/>
      <c r="J88" s="114"/>
      <c r="K88" s="114"/>
    </row>
    <row r="89" spans="1:11" ht="12.75">
      <c r="A89" s="114"/>
      <c r="B89" s="114"/>
      <c r="C89" s="114"/>
      <c r="D89" s="114"/>
      <c r="E89" s="114"/>
      <c r="F89" s="114"/>
      <c r="G89" s="114"/>
      <c r="H89" s="114"/>
      <c r="I89" s="114"/>
      <c r="J89" s="114"/>
      <c r="K89" s="114"/>
    </row>
    <row r="90" spans="1:11" ht="12.75">
      <c r="A90" s="114"/>
      <c r="B90" s="114"/>
      <c r="C90" s="114"/>
      <c r="D90" s="114"/>
      <c r="E90" s="114"/>
      <c r="F90" s="114"/>
      <c r="G90" s="114"/>
      <c r="H90" s="114"/>
      <c r="I90" s="114"/>
      <c r="J90" s="114"/>
      <c r="K90" s="114"/>
    </row>
    <row r="91" spans="1:11" ht="12.75">
      <c r="A91" s="114"/>
      <c r="B91" s="114"/>
      <c r="C91" s="114"/>
      <c r="D91" s="114"/>
      <c r="E91" s="114"/>
      <c r="F91" s="114"/>
      <c r="G91" s="114"/>
      <c r="H91" s="114"/>
      <c r="I91" s="114"/>
      <c r="J91" s="114"/>
      <c r="K91" s="114"/>
    </row>
    <row r="92" spans="1:11" ht="12.75">
      <c r="A92" s="114"/>
      <c r="B92" s="114"/>
      <c r="C92" s="114"/>
      <c r="D92" s="114"/>
      <c r="E92" s="114"/>
      <c r="F92" s="114"/>
      <c r="G92" s="114"/>
      <c r="H92" s="114"/>
      <c r="I92" s="114"/>
      <c r="J92" s="114"/>
      <c r="K92" s="114"/>
    </row>
    <row r="93" spans="1:11" ht="12.75">
      <c r="A93" s="114"/>
      <c r="B93" s="114"/>
      <c r="C93" s="114"/>
      <c r="D93" s="114"/>
      <c r="E93" s="114"/>
      <c r="F93" s="114"/>
      <c r="G93" s="114"/>
      <c r="H93" s="114"/>
      <c r="I93" s="114"/>
      <c r="J93" s="114"/>
      <c r="K93" s="114"/>
    </row>
    <row r="94" spans="1:11" ht="12.75">
      <c r="A94" s="114"/>
      <c r="B94" s="114"/>
      <c r="C94" s="114"/>
      <c r="D94" s="114"/>
      <c r="E94" s="114"/>
      <c r="F94" s="114"/>
      <c r="G94" s="114"/>
      <c r="H94" s="114"/>
      <c r="I94" s="114"/>
      <c r="J94" s="114"/>
      <c r="K94" s="114"/>
    </row>
    <row r="95" spans="1:11" ht="12.75">
      <c r="A95" s="114"/>
      <c r="B95" s="114"/>
      <c r="C95" s="114"/>
      <c r="D95" s="114"/>
      <c r="E95" s="114"/>
      <c r="F95" s="114"/>
      <c r="G95" s="114"/>
      <c r="H95" s="114"/>
      <c r="I95" s="114"/>
      <c r="J95" s="114"/>
      <c r="K95" s="114"/>
    </row>
    <row r="96" spans="1:11" ht="12.75">
      <c r="A96" s="114"/>
      <c r="B96" s="114"/>
      <c r="C96" s="114"/>
      <c r="D96" s="114"/>
      <c r="E96" s="114"/>
      <c r="F96" s="114"/>
      <c r="G96" s="114"/>
      <c r="H96" s="114"/>
      <c r="I96" s="114"/>
      <c r="J96" s="114"/>
      <c r="K96" s="114"/>
    </row>
    <row r="97" spans="1:11" ht="12.75">
      <c r="A97" s="114"/>
      <c r="B97" s="114"/>
      <c r="C97" s="114"/>
      <c r="D97" s="114"/>
      <c r="E97" s="114"/>
      <c r="F97" s="114"/>
      <c r="G97" s="114"/>
      <c r="H97" s="114"/>
      <c r="I97" s="114"/>
      <c r="J97" s="114"/>
      <c r="K97" s="114"/>
    </row>
    <row r="98" spans="1:11" ht="12.75">
      <c r="A98" s="114"/>
      <c r="B98" s="114"/>
      <c r="C98" s="114"/>
      <c r="D98" s="114"/>
      <c r="E98" s="114"/>
      <c r="F98" s="114"/>
      <c r="G98" s="114"/>
      <c r="H98" s="114"/>
      <c r="I98" s="114"/>
      <c r="J98" s="114"/>
      <c r="K98" s="114"/>
    </row>
    <row r="99" spans="1:11" ht="12.75">
      <c r="A99" s="114"/>
      <c r="B99" s="114"/>
      <c r="C99" s="114"/>
      <c r="D99" s="114"/>
      <c r="E99" s="114"/>
      <c r="F99" s="114"/>
      <c r="G99" s="114"/>
      <c r="H99" s="114"/>
      <c r="I99" s="114"/>
      <c r="J99" s="114"/>
      <c r="K99" s="114"/>
    </row>
    <row r="100" spans="1:11" ht="12.75">
      <c r="A100" s="114"/>
      <c r="B100" s="114"/>
      <c r="C100" s="114"/>
      <c r="D100" s="114"/>
      <c r="E100" s="114"/>
      <c r="F100" s="114"/>
      <c r="G100" s="114"/>
      <c r="H100" s="114"/>
      <c r="I100" s="114"/>
      <c r="J100" s="114"/>
      <c r="K100" s="114"/>
    </row>
    <row r="101" spans="1:11" ht="12.75">
      <c r="A101" s="114"/>
      <c r="B101" s="114"/>
      <c r="C101" s="114"/>
      <c r="D101" s="114"/>
      <c r="E101" s="114"/>
      <c r="F101" s="114"/>
      <c r="G101" s="114"/>
      <c r="H101" s="114"/>
      <c r="I101" s="114"/>
      <c r="J101" s="114"/>
      <c r="K101" s="114"/>
    </row>
    <row r="102" spans="1:11" ht="12.75">
      <c r="A102" s="114"/>
      <c r="B102" s="114"/>
      <c r="C102" s="114"/>
      <c r="D102" s="114"/>
      <c r="E102" s="114"/>
      <c r="F102" s="114"/>
      <c r="G102" s="114"/>
      <c r="H102" s="114"/>
      <c r="I102" s="114"/>
      <c r="J102" s="114"/>
      <c r="K102" s="114"/>
    </row>
    <row r="103" spans="1:11" ht="12.75">
      <c r="A103" s="114"/>
      <c r="B103" s="114"/>
      <c r="C103" s="114"/>
      <c r="D103" s="114"/>
      <c r="E103" s="114"/>
      <c r="F103" s="114"/>
      <c r="G103" s="114"/>
      <c r="H103" s="114"/>
      <c r="I103" s="114"/>
      <c r="J103" s="114"/>
      <c r="K103" s="114"/>
    </row>
    <row r="104" spans="1:11" ht="12.75">
      <c r="A104" s="114"/>
      <c r="B104" s="114"/>
      <c r="C104" s="114"/>
      <c r="D104" s="114"/>
      <c r="E104" s="114"/>
      <c r="F104" s="114"/>
      <c r="G104" s="114"/>
      <c r="H104" s="114"/>
      <c r="I104" s="114"/>
      <c r="J104" s="114"/>
      <c r="K104" s="114"/>
    </row>
    <row r="105" spans="1:11" ht="12.75">
      <c r="A105" s="114"/>
      <c r="B105" s="114"/>
      <c r="C105" s="114"/>
      <c r="D105" s="114"/>
      <c r="E105" s="114"/>
      <c r="F105" s="114"/>
      <c r="G105" s="114"/>
      <c r="H105" s="114"/>
      <c r="I105" s="114"/>
      <c r="J105" s="114"/>
      <c r="K105" s="114"/>
    </row>
    <row r="106" spans="1:11" ht="12.75">
      <c r="A106" s="114"/>
      <c r="B106" s="114"/>
      <c r="C106" s="114"/>
      <c r="D106" s="114"/>
      <c r="E106" s="114"/>
      <c r="F106" s="114"/>
      <c r="G106" s="114"/>
      <c r="H106" s="114"/>
      <c r="I106" s="114"/>
      <c r="J106" s="114"/>
      <c r="K106" s="114"/>
    </row>
    <row r="107" spans="1:11" ht="12.75">
      <c r="A107" s="114"/>
      <c r="B107" s="114"/>
      <c r="C107" s="114"/>
      <c r="D107" s="114"/>
      <c r="E107" s="114"/>
      <c r="F107" s="114"/>
      <c r="G107" s="114"/>
      <c r="H107" s="114"/>
      <c r="I107" s="114"/>
      <c r="J107" s="114"/>
      <c r="K107" s="114"/>
    </row>
    <row r="108" spans="1:11" ht="12.75">
      <c r="A108" s="114"/>
      <c r="B108" s="114"/>
      <c r="C108" s="114"/>
      <c r="D108" s="114"/>
      <c r="E108" s="114"/>
      <c r="F108" s="114"/>
      <c r="G108" s="114"/>
      <c r="H108" s="114"/>
      <c r="I108" s="114"/>
      <c r="J108" s="114"/>
      <c r="K108" s="114"/>
    </row>
    <row r="109" spans="1:11" ht="12.75">
      <c r="A109" s="114"/>
      <c r="B109" s="114"/>
      <c r="C109" s="114"/>
      <c r="D109" s="114"/>
      <c r="E109" s="114"/>
      <c r="F109" s="114"/>
      <c r="G109" s="114"/>
      <c r="H109" s="114"/>
      <c r="I109" s="114"/>
      <c r="J109" s="114"/>
      <c r="K109" s="114"/>
    </row>
    <row r="110" spans="1:11" ht="12.75">
      <c r="A110" s="114"/>
      <c r="B110" s="114"/>
      <c r="C110" s="114"/>
      <c r="D110" s="114"/>
      <c r="E110" s="114"/>
      <c r="F110" s="114"/>
      <c r="G110" s="114"/>
      <c r="H110" s="114"/>
      <c r="I110" s="114"/>
      <c r="J110" s="114"/>
      <c r="K110" s="114"/>
    </row>
    <row r="111" spans="1:11" ht="12.75">
      <c r="A111" s="114"/>
      <c r="B111" s="114"/>
      <c r="C111" s="114"/>
      <c r="D111" s="114"/>
      <c r="E111" s="114"/>
      <c r="F111" s="114"/>
      <c r="G111" s="114"/>
      <c r="H111" s="114"/>
      <c r="I111" s="114"/>
      <c r="J111" s="114"/>
      <c r="K111" s="114"/>
    </row>
    <row r="112" spans="1:11" ht="12.75">
      <c r="A112" s="114"/>
      <c r="B112" s="114"/>
      <c r="C112" s="114"/>
      <c r="D112" s="114"/>
      <c r="E112" s="114"/>
      <c r="F112" s="114"/>
      <c r="G112" s="114"/>
      <c r="H112" s="114"/>
      <c r="I112" s="114"/>
      <c r="J112" s="114"/>
      <c r="K112" s="114"/>
    </row>
    <row r="113" spans="1:11" ht="12.75">
      <c r="A113" s="114"/>
      <c r="B113" s="114"/>
      <c r="C113" s="114"/>
      <c r="D113" s="114"/>
      <c r="E113" s="114"/>
      <c r="F113" s="114"/>
      <c r="G113" s="114"/>
      <c r="H113" s="114"/>
      <c r="I113" s="114"/>
      <c r="J113" s="114"/>
      <c r="K113" s="114"/>
    </row>
    <row r="114" spans="1:11" ht="12.75">
      <c r="A114" s="114"/>
      <c r="B114" s="114"/>
      <c r="C114" s="114"/>
      <c r="D114" s="114"/>
      <c r="E114" s="114"/>
      <c r="F114" s="114"/>
      <c r="G114" s="114"/>
      <c r="H114" s="114"/>
      <c r="I114" s="114"/>
      <c r="J114" s="114"/>
      <c r="K114" s="114"/>
    </row>
    <row r="115" spans="1:11" ht="12.75">
      <c r="A115" s="114"/>
      <c r="B115" s="114"/>
      <c r="C115" s="114"/>
      <c r="D115" s="114"/>
      <c r="E115" s="114"/>
      <c r="F115" s="114"/>
      <c r="G115" s="114"/>
      <c r="H115" s="114"/>
      <c r="I115" s="114"/>
      <c r="J115" s="114"/>
      <c r="K115" s="114"/>
    </row>
    <row r="116" spans="1:11" ht="12.75">
      <c r="A116" s="114"/>
      <c r="B116" s="114"/>
      <c r="C116" s="114"/>
      <c r="D116" s="114"/>
      <c r="E116" s="114"/>
      <c r="F116" s="114"/>
      <c r="G116" s="114"/>
      <c r="H116" s="114"/>
      <c r="I116" s="114"/>
      <c r="J116" s="114"/>
      <c r="K116" s="114"/>
    </row>
    <row r="117" spans="1:11" ht="12.75">
      <c r="A117" s="114"/>
      <c r="B117" s="114"/>
      <c r="C117" s="114"/>
      <c r="D117" s="114"/>
      <c r="E117" s="114"/>
      <c r="F117" s="114"/>
      <c r="G117" s="114"/>
      <c r="H117" s="114"/>
      <c r="I117" s="114"/>
      <c r="J117" s="114"/>
      <c r="K117" s="114"/>
    </row>
    <row r="118" spans="1:11" ht="12.75">
      <c r="A118" s="114"/>
      <c r="B118" s="114"/>
      <c r="C118" s="114"/>
      <c r="D118" s="114"/>
      <c r="E118" s="114"/>
      <c r="F118" s="114"/>
      <c r="G118" s="114"/>
      <c r="H118" s="114"/>
      <c r="I118" s="114"/>
      <c r="J118" s="114"/>
      <c r="K118" s="114"/>
    </row>
    <row r="119" spans="1:11" ht="12.75">
      <c r="A119" s="114"/>
      <c r="B119" s="114"/>
      <c r="C119" s="114"/>
      <c r="D119" s="114"/>
      <c r="E119" s="114"/>
      <c r="F119" s="114"/>
      <c r="G119" s="114"/>
      <c r="H119" s="114"/>
      <c r="I119" s="114"/>
      <c r="J119" s="114"/>
      <c r="K119" s="114"/>
    </row>
    <row r="120" spans="1:11" ht="12.75">
      <c r="A120" s="114"/>
      <c r="B120" s="114"/>
      <c r="C120" s="114"/>
      <c r="D120" s="114"/>
      <c r="E120" s="114"/>
      <c r="F120" s="114"/>
      <c r="G120" s="114"/>
      <c r="H120" s="114"/>
      <c r="I120" s="114"/>
      <c r="J120" s="114"/>
      <c r="K120" s="114"/>
    </row>
    <row r="121" spans="1:11" ht="12.75">
      <c r="A121" s="114"/>
      <c r="B121" s="114"/>
      <c r="C121" s="114"/>
      <c r="D121" s="114"/>
      <c r="E121" s="114"/>
      <c r="F121" s="114"/>
      <c r="G121" s="114"/>
      <c r="H121" s="114"/>
      <c r="I121" s="114"/>
      <c r="J121" s="114"/>
      <c r="K121" s="114"/>
    </row>
    <row r="122" spans="1:11" ht="12.75">
      <c r="A122" s="114"/>
      <c r="B122" s="114"/>
      <c r="C122" s="114"/>
      <c r="D122" s="114"/>
      <c r="E122" s="114"/>
      <c r="F122" s="114"/>
      <c r="G122" s="114"/>
      <c r="H122" s="114"/>
      <c r="I122" s="114"/>
      <c r="J122" s="114"/>
      <c r="K122" s="114"/>
    </row>
    <row r="123" spans="1:11" ht="12.75">
      <c r="A123" s="114"/>
      <c r="B123" s="114"/>
      <c r="C123" s="114"/>
      <c r="D123" s="114"/>
      <c r="E123" s="114"/>
      <c r="F123" s="114"/>
      <c r="G123" s="114"/>
      <c r="H123" s="114"/>
      <c r="I123" s="114"/>
      <c r="J123" s="114"/>
      <c r="K123" s="114"/>
    </row>
    <row r="124" spans="1:11" ht="12.75">
      <c r="A124" s="114"/>
      <c r="B124" s="114"/>
      <c r="C124" s="114"/>
      <c r="D124" s="114"/>
      <c r="E124" s="114"/>
      <c r="F124" s="114"/>
      <c r="G124" s="114"/>
      <c r="H124" s="114"/>
      <c r="I124" s="114"/>
      <c r="J124" s="114"/>
      <c r="K124" s="114"/>
    </row>
    <row r="125" spans="1:11" ht="12.75">
      <c r="A125" s="114"/>
      <c r="B125" s="114"/>
      <c r="C125" s="114"/>
      <c r="D125" s="114"/>
      <c r="E125" s="114"/>
      <c r="F125" s="114"/>
      <c r="G125" s="114"/>
      <c r="H125" s="114"/>
      <c r="I125" s="114"/>
      <c r="J125" s="114"/>
      <c r="K125" s="114"/>
    </row>
    <row r="126" spans="1:11" ht="12.75">
      <c r="A126" s="114"/>
      <c r="B126" s="114"/>
      <c r="C126" s="114"/>
      <c r="D126" s="114"/>
      <c r="E126" s="114"/>
      <c r="F126" s="114"/>
      <c r="G126" s="114"/>
      <c r="H126" s="114"/>
      <c r="I126" s="114"/>
      <c r="J126" s="114"/>
      <c r="K126" s="114"/>
    </row>
    <row r="127" spans="1:11" ht="12.75">
      <c r="A127" s="114"/>
      <c r="B127" s="114"/>
      <c r="C127" s="114"/>
      <c r="D127" s="114"/>
      <c r="E127" s="114"/>
      <c r="F127" s="114"/>
      <c r="G127" s="114"/>
      <c r="H127" s="114"/>
      <c r="I127" s="114"/>
      <c r="J127" s="114"/>
      <c r="K127" s="114"/>
    </row>
    <row r="128" spans="1:11" ht="12.75">
      <c r="A128" s="114"/>
      <c r="B128" s="114"/>
      <c r="C128" s="114"/>
      <c r="D128" s="114"/>
      <c r="E128" s="114"/>
      <c r="F128" s="114"/>
      <c r="G128" s="114"/>
      <c r="H128" s="114"/>
      <c r="I128" s="114"/>
      <c r="J128" s="114"/>
      <c r="K128" s="114"/>
    </row>
    <row r="129" spans="1:11" ht="12.75">
      <c r="A129" s="114"/>
      <c r="B129" s="114"/>
      <c r="C129" s="114"/>
      <c r="D129" s="114"/>
      <c r="E129" s="114"/>
      <c r="F129" s="114"/>
      <c r="G129" s="114"/>
      <c r="H129" s="114"/>
      <c r="I129" s="114"/>
      <c r="J129" s="114"/>
      <c r="K129" s="114"/>
    </row>
    <row r="130" spans="1:11" ht="12.75">
      <c r="A130" s="114"/>
      <c r="B130" s="114"/>
      <c r="C130" s="114"/>
      <c r="D130" s="114"/>
      <c r="E130" s="114"/>
      <c r="F130" s="114"/>
      <c r="G130" s="114"/>
      <c r="H130" s="114"/>
      <c r="I130" s="114"/>
      <c r="J130" s="114"/>
      <c r="K130" s="114"/>
    </row>
    <row r="131" spans="1:11" ht="12.75">
      <c r="A131" s="114"/>
      <c r="B131" s="114"/>
      <c r="C131" s="114"/>
      <c r="D131" s="114"/>
      <c r="E131" s="114"/>
      <c r="F131" s="114"/>
      <c r="G131" s="114"/>
      <c r="H131" s="114"/>
      <c r="I131" s="114"/>
      <c r="J131" s="114"/>
      <c r="K131" s="114"/>
    </row>
    <row r="132" spans="1:11" ht="12.75">
      <c r="A132" s="114"/>
      <c r="B132" s="114"/>
      <c r="C132" s="114"/>
      <c r="D132" s="114"/>
      <c r="E132" s="114"/>
      <c r="F132" s="114"/>
      <c r="G132" s="114"/>
      <c r="H132" s="114"/>
      <c r="I132" s="114"/>
      <c r="J132" s="114"/>
      <c r="K132" s="114"/>
    </row>
    <row r="133" spans="1:11" ht="12.75">
      <c r="A133" s="114"/>
      <c r="B133" s="114"/>
      <c r="C133" s="114"/>
      <c r="D133" s="114"/>
      <c r="E133" s="114"/>
      <c r="F133" s="114"/>
      <c r="G133" s="114"/>
      <c r="H133" s="114"/>
      <c r="I133" s="114"/>
      <c r="J133" s="114"/>
      <c r="K133" s="114"/>
    </row>
    <row r="134" spans="1:11" ht="12.75">
      <c r="A134" s="114"/>
      <c r="B134" s="114"/>
      <c r="C134" s="114"/>
      <c r="D134" s="114"/>
      <c r="E134" s="114"/>
      <c r="F134" s="114"/>
      <c r="G134" s="114"/>
      <c r="H134" s="114"/>
      <c r="I134" s="114"/>
      <c r="J134" s="114"/>
      <c r="K134" s="114"/>
    </row>
    <row r="135" spans="1:11" ht="12.75">
      <c r="A135" s="114"/>
      <c r="B135" s="114"/>
      <c r="C135" s="114"/>
      <c r="D135" s="114"/>
      <c r="E135" s="114"/>
      <c r="F135" s="114"/>
      <c r="G135" s="114"/>
      <c r="H135" s="114"/>
      <c r="I135" s="114"/>
      <c r="J135" s="114"/>
      <c r="K135" s="114"/>
    </row>
    <row r="136" spans="1:11" ht="12.75">
      <c r="A136" s="114"/>
      <c r="B136" s="114"/>
      <c r="C136" s="114"/>
      <c r="D136" s="114"/>
      <c r="E136" s="114"/>
      <c r="F136" s="114"/>
      <c r="G136" s="114"/>
      <c r="H136" s="114"/>
      <c r="I136" s="114"/>
      <c r="J136" s="114"/>
      <c r="K136" s="114"/>
    </row>
    <row r="137" spans="1:11" ht="12.75">
      <c r="A137" s="114"/>
      <c r="B137" s="114"/>
      <c r="C137" s="114"/>
      <c r="D137" s="114"/>
      <c r="E137" s="114"/>
      <c r="F137" s="114"/>
      <c r="G137" s="114"/>
      <c r="H137" s="114"/>
      <c r="I137" s="114"/>
      <c r="J137" s="114"/>
      <c r="K137" s="114"/>
    </row>
    <row r="138" spans="1:11" ht="12.75">
      <c r="A138" s="114"/>
      <c r="B138" s="114"/>
      <c r="C138" s="114"/>
      <c r="D138" s="114"/>
      <c r="E138" s="114"/>
      <c r="F138" s="114"/>
      <c r="G138" s="114"/>
      <c r="H138" s="114"/>
      <c r="I138" s="114"/>
      <c r="J138" s="114"/>
      <c r="K138" s="114"/>
    </row>
    <row r="139" spans="1:11" ht="12.75">
      <c r="A139" s="114"/>
      <c r="B139" s="114"/>
      <c r="C139" s="114"/>
      <c r="D139" s="114"/>
      <c r="E139" s="114"/>
      <c r="F139" s="114"/>
      <c r="G139" s="114"/>
      <c r="H139" s="114"/>
      <c r="I139" s="114"/>
      <c r="J139" s="114"/>
      <c r="K139" s="114"/>
    </row>
    <row r="140" spans="1:11" ht="12.75">
      <c r="A140" s="114"/>
      <c r="B140" s="114"/>
      <c r="C140" s="114"/>
      <c r="D140" s="114"/>
      <c r="E140" s="114"/>
      <c r="F140" s="114"/>
      <c r="G140" s="114"/>
      <c r="H140" s="114"/>
      <c r="I140" s="114"/>
      <c r="J140" s="114"/>
      <c r="K140" s="114"/>
    </row>
    <row r="141" spans="1:11" ht="12.75">
      <c r="A141" s="114"/>
      <c r="B141" s="114"/>
      <c r="C141" s="114"/>
      <c r="D141" s="114"/>
      <c r="E141" s="114"/>
      <c r="F141" s="114"/>
      <c r="G141" s="114"/>
      <c r="H141" s="114"/>
      <c r="I141" s="114"/>
      <c r="J141" s="114"/>
      <c r="K141" s="114"/>
    </row>
    <row r="142" spans="1:11" ht="12.75">
      <c r="A142" s="114"/>
      <c r="B142" s="114"/>
      <c r="C142" s="114"/>
      <c r="D142" s="114"/>
      <c r="E142" s="114"/>
      <c r="F142" s="114"/>
      <c r="G142" s="114"/>
      <c r="H142" s="114"/>
      <c r="I142" s="114"/>
      <c r="J142" s="114"/>
      <c r="K142" s="114"/>
    </row>
    <row r="143" spans="1:11" ht="12.75">
      <c r="A143" s="114"/>
      <c r="B143" s="114"/>
      <c r="C143" s="114"/>
      <c r="D143" s="114"/>
      <c r="E143" s="114"/>
      <c r="F143" s="114"/>
      <c r="G143" s="114"/>
      <c r="H143" s="114"/>
      <c r="I143" s="114"/>
      <c r="J143" s="114"/>
      <c r="K143" s="114"/>
    </row>
    <row r="144" spans="1:11" ht="12.75">
      <c r="A144" s="114"/>
      <c r="B144" s="114"/>
      <c r="C144" s="114"/>
      <c r="D144" s="114"/>
      <c r="E144" s="114"/>
      <c r="F144" s="114"/>
      <c r="G144" s="114"/>
      <c r="H144" s="114"/>
      <c r="I144" s="114"/>
      <c r="J144" s="114"/>
      <c r="K144" s="114"/>
    </row>
    <row r="145" spans="1:11" ht="12.75">
      <c r="A145" s="114"/>
      <c r="B145" s="114"/>
      <c r="C145" s="114"/>
      <c r="D145" s="114"/>
      <c r="E145" s="114"/>
      <c r="F145" s="114"/>
      <c r="G145" s="114"/>
      <c r="H145" s="114"/>
      <c r="I145" s="114"/>
      <c r="J145" s="114"/>
      <c r="K145" s="114"/>
    </row>
    <row r="146" spans="1:11" ht="12.75">
      <c r="A146" s="114"/>
      <c r="B146" s="114"/>
      <c r="C146" s="114"/>
      <c r="D146" s="114"/>
      <c r="E146" s="114"/>
      <c r="F146" s="114"/>
      <c r="G146" s="114"/>
      <c r="H146" s="114"/>
      <c r="I146" s="114"/>
      <c r="J146" s="114"/>
      <c r="K146" s="114"/>
    </row>
    <row r="147" spans="1:11" ht="12.75">
      <c r="A147" s="114"/>
      <c r="B147" s="114"/>
      <c r="C147" s="114"/>
      <c r="D147" s="114"/>
      <c r="E147" s="114"/>
      <c r="F147" s="114"/>
      <c r="G147" s="114"/>
      <c r="H147" s="114"/>
      <c r="I147" s="114"/>
      <c r="J147" s="114"/>
      <c r="K147" s="114"/>
    </row>
    <row r="148" spans="1:11" ht="12.75">
      <c r="A148" s="114"/>
      <c r="B148" s="114"/>
      <c r="C148" s="114"/>
      <c r="D148" s="114"/>
      <c r="E148" s="114"/>
      <c r="F148" s="114"/>
      <c r="G148" s="114"/>
      <c r="H148" s="114"/>
      <c r="I148" s="114"/>
      <c r="J148" s="114"/>
      <c r="K148" s="114"/>
    </row>
    <row r="149" spans="1:11" ht="12.75">
      <c r="A149" s="114"/>
      <c r="B149" s="114"/>
      <c r="C149" s="114"/>
      <c r="D149" s="114"/>
      <c r="E149" s="114"/>
      <c r="F149" s="114"/>
      <c r="G149" s="114"/>
      <c r="H149" s="114"/>
      <c r="I149" s="114"/>
      <c r="J149" s="114"/>
      <c r="K149" s="114"/>
    </row>
    <row r="150" spans="1:11" ht="12.75">
      <c r="A150" s="114"/>
      <c r="B150" s="114"/>
      <c r="C150" s="114"/>
      <c r="D150" s="114"/>
      <c r="E150" s="114"/>
      <c r="F150" s="114"/>
      <c r="G150" s="114"/>
      <c r="H150" s="114"/>
      <c r="I150" s="114"/>
      <c r="J150" s="114"/>
      <c r="K150" s="114"/>
    </row>
    <row r="151" spans="1:11" ht="12.75">
      <c r="A151" s="114"/>
      <c r="B151" s="114"/>
      <c r="C151" s="114"/>
      <c r="D151" s="114"/>
      <c r="E151" s="114"/>
      <c r="F151" s="114"/>
      <c r="G151" s="114"/>
      <c r="H151" s="114"/>
      <c r="I151" s="114"/>
      <c r="J151" s="114"/>
      <c r="K151" s="114"/>
    </row>
    <row r="152" spans="1:11" ht="12.75">
      <c r="A152" s="114"/>
      <c r="B152" s="114"/>
      <c r="C152" s="114"/>
      <c r="D152" s="114"/>
      <c r="E152" s="114"/>
      <c r="F152" s="114"/>
      <c r="G152" s="114"/>
      <c r="H152" s="114"/>
      <c r="I152" s="114"/>
      <c r="J152" s="114"/>
      <c r="K152" s="114"/>
    </row>
    <row r="153" spans="1:11" ht="12.75">
      <c r="A153" s="114"/>
      <c r="B153" s="114"/>
      <c r="C153" s="114"/>
      <c r="D153" s="114"/>
      <c r="E153" s="114"/>
      <c r="F153" s="114"/>
      <c r="G153" s="114"/>
      <c r="H153" s="114"/>
      <c r="I153" s="114"/>
      <c r="J153" s="114"/>
      <c r="K153" s="114"/>
    </row>
    <row r="154" spans="1:11" ht="12.75">
      <c r="A154" s="114"/>
      <c r="B154" s="114"/>
      <c r="C154" s="114"/>
      <c r="D154" s="114"/>
      <c r="E154" s="114"/>
      <c r="F154" s="114"/>
      <c r="G154" s="114"/>
      <c r="H154" s="114"/>
      <c r="I154" s="114"/>
      <c r="J154" s="114"/>
      <c r="K154" s="114"/>
    </row>
    <row r="155" spans="1:11" ht="12.75">
      <c r="A155" s="114"/>
      <c r="B155" s="114"/>
      <c r="C155" s="114"/>
      <c r="D155" s="114"/>
      <c r="E155" s="114"/>
      <c r="F155" s="114"/>
      <c r="G155" s="114"/>
      <c r="H155" s="114"/>
      <c r="I155" s="114"/>
      <c r="J155" s="114"/>
      <c r="K155" s="114"/>
    </row>
    <row r="156" spans="1:11" ht="12.75">
      <c r="A156" s="114"/>
      <c r="B156" s="114"/>
      <c r="C156" s="114"/>
      <c r="D156" s="114"/>
      <c r="E156" s="114"/>
      <c r="F156" s="114"/>
      <c r="G156" s="114"/>
      <c r="H156" s="114"/>
      <c r="I156" s="114"/>
      <c r="J156" s="114"/>
      <c r="K156" s="114"/>
    </row>
    <row r="157" spans="1:11" ht="12.75">
      <c r="A157" s="114"/>
      <c r="B157" s="114"/>
      <c r="C157" s="114"/>
      <c r="D157" s="114"/>
      <c r="E157" s="114"/>
      <c r="F157" s="114"/>
      <c r="G157" s="114"/>
      <c r="H157" s="114"/>
      <c r="I157" s="114"/>
      <c r="J157" s="114"/>
      <c r="K157" s="114"/>
    </row>
    <row r="158" spans="1:11" ht="12.75">
      <c r="A158" s="114"/>
      <c r="B158" s="114"/>
      <c r="C158" s="114"/>
      <c r="D158" s="114"/>
      <c r="E158" s="114"/>
      <c r="F158" s="114"/>
      <c r="G158" s="114"/>
      <c r="H158" s="114"/>
      <c r="I158" s="114"/>
      <c r="J158" s="114"/>
      <c r="K158" s="114"/>
    </row>
    <row r="159" spans="1:11" ht="12.75">
      <c r="A159" s="114"/>
      <c r="B159" s="114"/>
      <c r="C159" s="114"/>
      <c r="D159" s="114"/>
      <c r="E159" s="114"/>
      <c r="F159" s="114"/>
      <c r="G159" s="114"/>
      <c r="H159" s="114"/>
      <c r="I159" s="114"/>
      <c r="J159" s="114"/>
      <c r="K159" s="114"/>
    </row>
    <row r="160" spans="1:11" ht="12.75">
      <c r="A160" s="114"/>
      <c r="B160" s="114"/>
      <c r="C160" s="114"/>
      <c r="D160" s="114"/>
      <c r="E160" s="114"/>
      <c r="F160" s="114"/>
      <c r="G160" s="114"/>
      <c r="H160" s="114"/>
      <c r="I160" s="114"/>
      <c r="J160" s="114"/>
      <c r="K160" s="114"/>
    </row>
    <row r="161" spans="1:11" ht="12.75">
      <c r="A161" s="114"/>
      <c r="B161" s="114"/>
      <c r="C161" s="114"/>
      <c r="D161" s="114"/>
      <c r="E161" s="114"/>
      <c r="F161" s="114"/>
      <c r="G161" s="114"/>
      <c r="H161" s="114"/>
      <c r="I161" s="114"/>
      <c r="J161" s="114"/>
      <c r="K161" s="114"/>
    </row>
    <row r="162" spans="1:11" ht="12.75">
      <c r="A162" s="114"/>
      <c r="B162" s="114"/>
      <c r="C162" s="114"/>
      <c r="D162" s="114"/>
      <c r="E162" s="114"/>
      <c r="F162" s="114"/>
      <c r="G162" s="114"/>
      <c r="H162" s="114"/>
      <c r="I162" s="114"/>
      <c r="J162" s="114"/>
      <c r="K162" s="114"/>
    </row>
    <row r="163" spans="1:11" ht="12.75">
      <c r="A163" s="114"/>
      <c r="B163" s="114"/>
      <c r="C163" s="114"/>
      <c r="D163" s="114"/>
      <c r="E163" s="114"/>
      <c r="F163" s="114"/>
      <c r="G163" s="114"/>
      <c r="H163" s="114"/>
      <c r="I163" s="114"/>
      <c r="J163" s="114"/>
      <c r="K163" s="114"/>
    </row>
    <row r="164" spans="1:11" ht="12.75">
      <c r="A164" s="114"/>
      <c r="B164" s="114"/>
      <c r="C164" s="114"/>
      <c r="D164" s="114"/>
      <c r="E164" s="114"/>
      <c r="F164" s="114"/>
      <c r="G164" s="114"/>
      <c r="H164" s="114"/>
      <c r="I164" s="114"/>
      <c r="J164" s="114"/>
      <c r="K164" s="114"/>
    </row>
    <row r="165" spans="1:11" ht="12.75">
      <c r="A165" s="114"/>
      <c r="B165" s="114"/>
      <c r="C165" s="114"/>
      <c r="D165" s="114"/>
      <c r="E165" s="114"/>
      <c r="F165" s="114"/>
      <c r="G165" s="114"/>
      <c r="H165" s="114"/>
      <c r="I165" s="114"/>
      <c r="J165" s="114"/>
      <c r="K165" s="114"/>
    </row>
    <row r="166" spans="1:11" ht="12.75">
      <c r="A166" s="114"/>
      <c r="B166" s="114"/>
      <c r="C166" s="114"/>
      <c r="D166" s="114"/>
      <c r="E166" s="114"/>
      <c r="F166" s="114"/>
      <c r="G166" s="114"/>
      <c r="H166" s="114"/>
      <c r="I166" s="114"/>
      <c r="J166" s="114"/>
      <c r="K166" s="114"/>
    </row>
    <row r="167" spans="1:11" ht="12.75">
      <c r="A167" s="114"/>
      <c r="B167" s="114"/>
      <c r="C167" s="114"/>
      <c r="D167" s="114"/>
      <c r="E167" s="114"/>
      <c r="F167" s="114"/>
      <c r="G167" s="114"/>
      <c r="H167" s="114"/>
      <c r="I167" s="114"/>
      <c r="J167" s="114"/>
      <c r="K167" s="114"/>
    </row>
    <row r="168" spans="1:11" ht="12.75">
      <c r="A168" s="114"/>
      <c r="B168" s="114"/>
      <c r="C168" s="114"/>
      <c r="D168" s="114"/>
      <c r="E168" s="114"/>
      <c r="F168" s="114"/>
      <c r="G168" s="114"/>
      <c r="H168" s="114"/>
      <c r="I168" s="114"/>
      <c r="J168" s="114"/>
      <c r="K168" s="114"/>
    </row>
    <row r="169" spans="1:11" ht="12.75">
      <c r="A169" s="114"/>
      <c r="B169" s="114"/>
      <c r="C169" s="114"/>
      <c r="D169" s="114"/>
      <c r="E169" s="114"/>
      <c r="F169" s="114"/>
      <c r="G169" s="114"/>
      <c r="H169" s="114"/>
      <c r="I169" s="114"/>
      <c r="J169" s="114"/>
      <c r="K169" s="114"/>
    </row>
    <row r="170" spans="1:11" ht="12.75">
      <c r="A170" s="114"/>
      <c r="B170" s="114"/>
      <c r="C170" s="114"/>
      <c r="D170" s="114"/>
      <c r="E170" s="114"/>
      <c r="F170" s="114"/>
      <c r="G170" s="114"/>
      <c r="H170" s="114"/>
      <c r="I170" s="114"/>
      <c r="J170" s="114"/>
      <c r="K170" s="114"/>
    </row>
    <row r="171" spans="1:11" ht="12.75">
      <c r="A171" s="114"/>
      <c r="B171" s="114"/>
      <c r="C171" s="114"/>
      <c r="D171" s="114"/>
      <c r="E171" s="114"/>
      <c r="F171" s="114"/>
      <c r="G171" s="114"/>
      <c r="H171" s="114"/>
      <c r="I171" s="114"/>
      <c r="J171" s="114"/>
      <c r="K171" s="114"/>
    </row>
    <row r="172" spans="1:11" ht="12.75">
      <c r="A172" s="114"/>
      <c r="B172" s="114"/>
      <c r="C172" s="114"/>
      <c r="D172" s="114"/>
      <c r="E172" s="114"/>
      <c r="F172" s="114"/>
      <c r="G172" s="114"/>
      <c r="H172" s="114"/>
      <c r="I172" s="114"/>
      <c r="J172" s="114"/>
      <c r="K172" s="114"/>
    </row>
    <row r="173" spans="1:11" ht="12.75">
      <c r="A173" s="114"/>
      <c r="B173" s="114"/>
      <c r="C173" s="114"/>
      <c r="D173" s="114"/>
      <c r="E173" s="114"/>
      <c r="F173" s="114"/>
      <c r="G173" s="114"/>
      <c r="H173" s="114"/>
      <c r="I173" s="114"/>
      <c r="J173" s="114"/>
      <c r="K173" s="114"/>
    </row>
    <row r="174" spans="1:11" ht="12.75">
      <c r="A174" s="114"/>
      <c r="B174" s="114"/>
      <c r="C174" s="114"/>
      <c r="D174" s="114"/>
      <c r="E174" s="114"/>
      <c r="F174" s="114"/>
      <c r="G174" s="114"/>
      <c r="H174" s="114"/>
      <c r="I174" s="114"/>
      <c r="J174" s="114"/>
      <c r="K174" s="114"/>
    </row>
    <row r="175" spans="1:11" ht="12.75">
      <c r="A175" s="114"/>
      <c r="B175" s="114"/>
      <c r="C175" s="114"/>
      <c r="D175" s="114"/>
      <c r="E175" s="114"/>
      <c r="F175" s="114"/>
      <c r="G175" s="114"/>
      <c r="H175" s="114"/>
      <c r="I175" s="114"/>
      <c r="J175" s="114"/>
      <c r="K175" s="114"/>
    </row>
    <row r="176" spans="1:11" ht="12.75">
      <c r="A176" s="114"/>
      <c r="B176" s="114"/>
      <c r="C176" s="114"/>
      <c r="D176" s="114"/>
      <c r="E176" s="114"/>
      <c r="F176" s="114"/>
      <c r="G176" s="114"/>
      <c r="H176" s="114"/>
      <c r="I176" s="114"/>
      <c r="J176" s="114"/>
      <c r="K176" s="114"/>
    </row>
    <row r="177" spans="1:11" ht="12.75">
      <c r="A177" s="114"/>
      <c r="B177" s="114"/>
      <c r="C177" s="114"/>
      <c r="D177" s="114"/>
      <c r="E177" s="114"/>
      <c r="F177" s="114"/>
      <c r="G177" s="114"/>
      <c r="H177" s="114"/>
      <c r="I177" s="114"/>
      <c r="J177" s="114"/>
      <c r="K177" s="114"/>
    </row>
    <row r="178" spans="1:11" ht="12.75">
      <c r="A178" s="114"/>
      <c r="B178" s="114"/>
      <c r="C178" s="114"/>
      <c r="D178" s="114"/>
      <c r="E178" s="114"/>
      <c r="F178" s="114"/>
      <c r="G178" s="114"/>
      <c r="H178" s="114"/>
      <c r="I178" s="114"/>
      <c r="J178" s="114"/>
      <c r="K178" s="114"/>
    </row>
    <row r="179" spans="1:11" ht="12.75">
      <c r="A179" s="114"/>
      <c r="B179" s="114"/>
      <c r="C179" s="114"/>
      <c r="D179" s="114"/>
      <c r="E179" s="114"/>
      <c r="F179" s="114"/>
      <c r="G179" s="114"/>
      <c r="H179" s="114"/>
      <c r="I179" s="114"/>
      <c r="J179" s="114"/>
      <c r="K179" s="114"/>
    </row>
    <row r="180" spans="1:11" ht="12.75">
      <c r="A180" s="114"/>
      <c r="B180" s="114"/>
      <c r="C180" s="114"/>
      <c r="D180" s="114"/>
      <c r="E180" s="114"/>
      <c r="F180" s="114"/>
      <c r="G180" s="114"/>
      <c r="H180" s="114"/>
      <c r="I180" s="114"/>
      <c r="J180" s="114"/>
      <c r="K180" s="114"/>
    </row>
    <row r="181" spans="1:11" ht="12.75">
      <c r="A181" s="114"/>
      <c r="B181" s="114"/>
      <c r="C181" s="114"/>
      <c r="D181" s="114"/>
      <c r="E181" s="114"/>
      <c r="F181" s="114"/>
      <c r="G181" s="114"/>
      <c r="H181" s="114"/>
      <c r="I181" s="114"/>
      <c r="J181" s="114"/>
      <c r="K181" s="114"/>
    </row>
    <row r="182" spans="1:11" ht="12.75">
      <c r="A182" s="114"/>
      <c r="B182" s="114"/>
      <c r="C182" s="114"/>
      <c r="D182" s="114"/>
      <c r="E182" s="114"/>
      <c r="F182" s="114"/>
      <c r="G182" s="114"/>
      <c r="H182" s="114"/>
      <c r="I182" s="114"/>
      <c r="J182" s="114"/>
      <c r="K182" s="114"/>
    </row>
    <row r="183" spans="1:11" ht="12.75">
      <c r="A183" s="114"/>
      <c r="B183" s="114"/>
      <c r="C183" s="114"/>
      <c r="D183" s="114"/>
      <c r="E183" s="114"/>
      <c r="F183" s="114"/>
      <c r="G183" s="114"/>
      <c r="H183" s="114"/>
      <c r="I183" s="114"/>
      <c r="J183" s="114"/>
      <c r="K183" s="114"/>
    </row>
    <row r="184" spans="1:11" ht="12.75">
      <c r="A184" s="114"/>
      <c r="B184" s="114"/>
      <c r="C184" s="114"/>
      <c r="D184" s="114"/>
      <c r="E184" s="114"/>
      <c r="F184" s="114"/>
      <c r="G184" s="114"/>
      <c r="H184" s="114"/>
      <c r="I184" s="114"/>
      <c r="J184" s="114"/>
      <c r="K184" s="114"/>
    </row>
    <row r="185" spans="1:11" ht="12.75">
      <c r="A185" s="114"/>
      <c r="B185" s="114"/>
      <c r="C185" s="114"/>
      <c r="D185" s="114"/>
      <c r="E185" s="114"/>
      <c r="F185" s="114"/>
      <c r="G185" s="114"/>
      <c r="H185" s="114"/>
      <c r="I185" s="114"/>
      <c r="J185" s="114"/>
      <c r="K185" s="114"/>
    </row>
    <row r="186" spans="1:11" ht="12.75">
      <c r="A186" s="114"/>
      <c r="B186" s="114"/>
      <c r="C186" s="114"/>
      <c r="D186" s="114"/>
      <c r="E186" s="114"/>
      <c r="F186" s="114"/>
      <c r="G186" s="114"/>
      <c r="H186" s="114"/>
      <c r="I186" s="114"/>
      <c r="J186" s="114"/>
      <c r="K186" s="114"/>
    </row>
    <row r="187" spans="1:11" ht="12.75">
      <c r="A187" s="114"/>
      <c r="B187" s="114"/>
      <c r="C187" s="114"/>
      <c r="D187" s="114"/>
      <c r="E187" s="114"/>
      <c r="F187" s="114"/>
      <c r="G187" s="114"/>
      <c r="H187" s="114"/>
      <c r="I187" s="114"/>
      <c r="J187" s="114"/>
      <c r="K187" s="114"/>
    </row>
    <row r="188" spans="1:11" ht="12.75">
      <c r="A188" s="114"/>
      <c r="B188" s="114"/>
      <c r="C188" s="114"/>
      <c r="D188" s="114"/>
      <c r="E188" s="114"/>
      <c r="F188" s="114"/>
      <c r="G188" s="114"/>
      <c r="H188" s="114"/>
      <c r="I188" s="114"/>
      <c r="J188" s="114"/>
      <c r="K188" s="114"/>
    </row>
    <row r="189" spans="1:11" ht="12.75">
      <c r="A189" s="114"/>
      <c r="B189" s="114"/>
      <c r="C189" s="114"/>
      <c r="D189" s="114"/>
      <c r="E189" s="114"/>
      <c r="F189" s="114"/>
      <c r="G189" s="114"/>
      <c r="H189" s="114"/>
      <c r="I189" s="114"/>
      <c r="J189" s="114"/>
      <c r="K189" s="114"/>
    </row>
    <row r="190" spans="1:11" ht="12.75">
      <c r="A190" s="114"/>
      <c r="B190" s="114"/>
      <c r="C190" s="114"/>
      <c r="D190" s="114"/>
      <c r="E190" s="114"/>
      <c r="F190" s="114"/>
      <c r="G190" s="114"/>
      <c r="H190" s="114"/>
      <c r="I190" s="114"/>
      <c r="J190" s="114"/>
      <c r="K190" s="114"/>
    </row>
    <row r="191" spans="1:11" ht="12.75">
      <c r="A191" s="114"/>
      <c r="B191" s="114"/>
      <c r="C191" s="114"/>
      <c r="D191" s="114"/>
      <c r="E191" s="114"/>
      <c r="F191" s="114"/>
      <c r="G191" s="114"/>
      <c r="H191" s="114"/>
      <c r="I191" s="114"/>
      <c r="J191" s="114"/>
      <c r="K191" s="114"/>
    </row>
    <row r="192" spans="1:11" ht="12.75">
      <c r="A192" s="114"/>
      <c r="B192" s="114"/>
      <c r="C192" s="114"/>
      <c r="D192" s="114"/>
      <c r="E192" s="114"/>
      <c r="F192" s="114"/>
      <c r="G192" s="114"/>
      <c r="H192" s="114"/>
      <c r="I192" s="114"/>
      <c r="J192" s="114"/>
      <c r="K192" s="114"/>
    </row>
    <row r="193" spans="1:11" ht="12.75">
      <c r="A193" s="114"/>
      <c r="B193" s="114"/>
      <c r="C193" s="114"/>
      <c r="D193" s="114"/>
      <c r="E193" s="114"/>
      <c r="F193" s="114"/>
      <c r="G193" s="114"/>
      <c r="H193" s="114"/>
      <c r="I193" s="114"/>
      <c r="J193" s="114"/>
      <c r="K193" s="114"/>
    </row>
    <row r="194" spans="1:11" ht="12.75">
      <c r="A194" s="114"/>
      <c r="B194" s="114"/>
      <c r="C194" s="114"/>
      <c r="D194" s="114"/>
      <c r="E194" s="114"/>
      <c r="F194" s="114"/>
      <c r="G194" s="114"/>
      <c r="H194" s="114"/>
      <c r="I194" s="114"/>
      <c r="J194" s="114"/>
      <c r="K194" s="114"/>
    </row>
    <row r="195" spans="1:11" ht="12.75">
      <c r="A195" s="114"/>
      <c r="B195" s="114"/>
      <c r="C195" s="114"/>
      <c r="D195" s="114"/>
      <c r="E195" s="114"/>
      <c r="F195" s="114"/>
      <c r="G195" s="114"/>
      <c r="H195" s="114"/>
      <c r="I195" s="114"/>
      <c r="J195" s="114"/>
      <c r="K195" s="114"/>
    </row>
    <row r="196" spans="1:11" ht="12.75">
      <c r="A196" s="114"/>
      <c r="B196" s="114"/>
      <c r="C196" s="114"/>
      <c r="D196" s="114"/>
      <c r="E196" s="114"/>
      <c r="F196" s="114"/>
      <c r="G196" s="114"/>
      <c r="H196" s="114"/>
      <c r="I196" s="114"/>
      <c r="J196" s="114"/>
      <c r="K196" s="114"/>
    </row>
    <row r="197" spans="1:11" ht="12.75">
      <c r="A197" s="114"/>
      <c r="B197" s="114"/>
      <c r="C197" s="114"/>
      <c r="D197" s="114"/>
      <c r="E197" s="114"/>
      <c r="F197" s="114"/>
      <c r="G197" s="114"/>
      <c r="H197" s="114"/>
      <c r="I197" s="114"/>
      <c r="J197" s="114"/>
      <c r="K197" s="114"/>
    </row>
    <row r="198" spans="1:11" ht="12.75">
      <c r="A198" s="114"/>
      <c r="B198" s="114"/>
      <c r="C198" s="114"/>
      <c r="D198" s="114"/>
      <c r="E198" s="114"/>
      <c r="F198" s="114"/>
      <c r="G198" s="114"/>
      <c r="H198" s="114"/>
      <c r="I198" s="114"/>
      <c r="J198" s="114"/>
      <c r="K198" s="114"/>
    </row>
    <row r="199" spans="1:11" ht="12.75">
      <c r="A199" s="114"/>
      <c r="B199" s="114"/>
      <c r="C199" s="114"/>
      <c r="D199" s="114"/>
      <c r="E199" s="114"/>
      <c r="F199" s="114"/>
      <c r="G199" s="114"/>
      <c r="H199" s="114"/>
      <c r="I199" s="114"/>
      <c r="J199" s="114"/>
      <c r="K199" s="114"/>
    </row>
    <row r="200" spans="1:11" ht="12.75">
      <c r="A200" s="114"/>
      <c r="B200" s="114"/>
      <c r="C200" s="114"/>
      <c r="D200" s="114"/>
      <c r="E200" s="114"/>
      <c r="F200" s="114"/>
      <c r="G200" s="114"/>
      <c r="H200" s="114"/>
      <c r="I200" s="114"/>
      <c r="J200" s="114"/>
      <c r="K200" s="114"/>
    </row>
    <row r="201" spans="1:11" ht="12.75">
      <c r="A201" s="114"/>
      <c r="B201" s="114"/>
      <c r="C201" s="114"/>
      <c r="D201" s="114"/>
      <c r="E201" s="114"/>
      <c r="F201" s="114"/>
      <c r="G201" s="114"/>
      <c r="H201" s="114"/>
      <c r="I201" s="114"/>
      <c r="J201" s="114"/>
      <c r="K201" s="114"/>
    </row>
    <row r="202" spans="1:11" ht="12.75">
      <c r="A202" s="114"/>
      <c r="B202" s="114"/>
      <c r="C202" s="114"/>
      <c r="D202" s="114"/>
      <c r="E202" s="114"/>
      <c r="F202" s="114"/>
      <c r="G202" s="114"/>
      <c r="H202" s="114"/>
      <c r="I202" s="114"/>
      <c r="J202" s="114"/>
      <c r="K202" s="114"/>
    </row>
    <row r="203" spans="1:11" ht="12.75">
      <c r="A203" s="114"/>
      <c r="B203" s="114"/>
      <c r="C203" s="114"/>
      <c r="D203" s="114"/>
      <c r="E203" s="114"/>
      <c r="F203" s="114"/>
      <c r="G203" s="114"/>
      <c r="H203" s="114"/>
      <c r="I203" s="114"/>
      <c r="J203" s="114"/>
      <c r="K203" s="114"/>
    </row>
    <row r="204" spans="1:11" ht="12.75">
      <c r="A204" s="114"/>
      <c r="B204" s="114"/>
      <c r="C204" s="114"/>
      <c r="D204" s="114"/>
      <c r="E204" s="114"/>
      <c r="F204" s="114"/>
      <c r="G204" s="114"/>
      <c r="H204" s="114"/>
      <c r="I204" s="114"/>
      <c r="J204" s="114"/>
      <c r="K204" s="114"/>
    </row>
    <row r="205" spans="1:11" ht="12.75">
      <c r="A205" s="114"/>
      <c r="B205" s="114"/>
      <c r="C205" s="114"/>
      <c r="D205" s="114"/>
      <c r="E205" s="114"/>
      <c r="F205" s="114"/>
      <c r="G205" s="114"/>
      <c r="H205" s="114"/>
      <c r="I205" s="114"/>
      <c r="J205" s="114"/>
      <c r="K205" s="114"/>
    </row>
    <row r="206" spans="1:11" ht="12.75">
      <c r="A206" s="114"/>
      <c r="B206" s="114"/>
      <c r="C206" s="114"/>
      <c r="D206" s="114"/>
      <c r="E206" s="114"/>
      <c r="F206" s="114"/>
      <c r="G206" s="114"/>
      <c r="H206" s="114"/>
      <c r="I206" s="114"/>
      <c r="J206" s="114"/>
      <c r="K206" s="114"/>
    </row>
    <row r="207" spans="1:11" ht="12.75">
      <c r="A207" s="114"/>
      <c r="B207" s="114"/>
      <c r="C207" s="114"/>
      <c r="D207" s="114"/>
      <c r="E207" s="114"/>
      <c r="F207" s="114"/>
      <c r="G207" s="114"/>
      <c r="H207" s="114"/>
      <c r="I207" s="114"/>
      <c r="J207" s="114"/>
      <c r="K207" s="114"/>
    </row>
    <row r="208" spans="1:11" ht="12.75">
      <c r="A208" s="114"/>
      <c r="B208" s="114"/>
      <c r="C208" s="114"/>
      <c r="D208" s="114"/>
      <c r="E208" s="114"/>
      <c r="F208" s="114"/>
      <c r="G208" s="114"/>
      <c r="H208" s="114"/>
      <c r="I208" s="114"/>
      <c r="J208" s="114"/>
      <c r="K208" s="114"/>
    </row>
    <row r="209" spans="1:11" ht="12.75">
      <c r="A209" s="114"/>
      <c r="B209" s="114"/>
      <c r="C209" s="114"/>
      <c r="D209" s="114"/>
      <c r="E209" s="114"/>
      <c r="F209" s="114"/>
      <c r="G209" s="114"/>
      <c r="H209" s="114"/>
      <c r="I209" s="114"/>
      <c r="J209" s="114"/>
      <c r="K209" s="114"/>
    </row>
    <row r="210" spans="1:11" ht="12.75">
      <c r="A210" s="114"/>
      <c r="B210" s="114"/>
      <c r="C210" s="114"/>
      <c r="D210" s="114"/>
      <c r="E210" s="114"/>
      <c r="F210" s="114"/>
      <c r="G210" s="114"/>
      <c r="H210" s="114"/>
      <c r="I210" s="114"/>
      <c r="J210" s="114"/>
      <c r="K210" s="114"/>
    </row>
    <row r="211" spans="1:11" ht="12.75">
      <c r="A211" s="114"/>
      <c r="B211" s="114"/>
      <c r="C211" s="114"/>
      <c r="D211" s="114"/>
      <c r="E211" s="114"/>
      <c r="F211" s="114"/>
      <c r="G211" s="114"/>
      <c r="H211" s="114"/>
      <c r="I211" s="114"/>
      <c r="J211" s="114"/>
      <c r="K211" s="114"/>
    </row>
    <row r="212" spans="1:11" ht="12.75">
      <c r="A212" s="114"/>
      <c r="B212" s="114"/>
      <c r="C212" s="114"/>
      <c r="D212" s="114"/>
      <c r="E212" s="114"/>
      <c r="F212" s="114"/>
      <c r="G212" s="114"/>
      <c r="H212" s="114"/>
      <c r="I212" s="114"/>
      <c r="J212" s="114"/>
      <c r="K212" s="114"/>
    </row>
    <row r="213" spans="1:11" ht="12.75">
      <c r="A213" s="114"/>
      <c r="B213" s="114"/>
      <c r="C213" s="114"/>
      <c r="D213" s="114"/>
      <c r="E213" s="114"/>
      <c r="F213" s="114"/>
      <c r="G213" s="114"/>
      <c r="H213" s="114"/>
      <c r="I213" s="114"/>
      <c r="J213" s="114"/>
      <c r="K213" s="114"/>
    </row>
    <row r="214" spans="1:11" ht="12.75">
      <c r="A214" s="114"/>
      <c r="B214" s="114"/>
      <c r="C214" s="114"/>
      <c r="D214" s="114"/>
      <c r="E214" s="114"/>
      <c r="F214" s="114"/>
      <c r="G214" s="114"/>
      <c r="H214" s="114"/>
      <c r="I214" s="114"/>
      <c r="J214" s="114"/>
      <c r="K214" s="114"/>
    </row>
    <row r="215" spans="1:11" ht="12.75">
      <c r="A215" s="114"/>
      <c r="B215" s="114"/>
      <c r="C215" s="114"/>
      <c r="D215" s="114"/>
      <c r="E215" s="114"/>
      <c r="F215" s="114"/>
      <c r="G215" s="114"/>
      <c r="H215" s="114"/>
      <c r="I215" s="114"/>
      <c r="J215" s="114"/>
      <c r="K215" s="114"/>
    </row>
    <row r="216" spans="1:11" ht="12.75">
      <c r="A216" s="114"/>
      <c r="B216" s="114"/>
      <c r="C216" s="114"/>
      <c r="D216" s="114"/>
      <c r="E216" s="114"/>
      <c r="F216" s="114"/>
      <c r="G216" s="114"/>
      <c r="H216" s="114"/>
      <c r="I216" s="114"/>
      <c r="J216" s="114"/>
      <c r="K216" s="114"/>
    </row>
    <row r="217" spans="1:11" ht="12.75">
      <c r="A217" s="114"/>
      <c r="B217" s="114"/>
      <c r="C217" s="114"/>
      <c r="D217" s="114"/>
      <c r="E217" s="114"/>
      <c r="F217" s="114"/>
      <c r="G217" s="114"/>
      <c r="H217" s="114"/>
      <c r="I217" s="114"/>
      <c r="J217" s="114"/>
      <c r="K217" s="114"/>
    </row>
    <row r="218" spans="1:11" ht="12.75">
      <c r="A218" s="114"/>
      <c r="B218" s="114"/>
      <c r="C218" s="114"/>
      <c r="D218" s="114"/>
      <c r="E218" s="114"/>
      <c r="F218" s="114"/>
      <c r="G218" s="114"/>
      <c r="H218" s="114"/>
      <c r="I218" s="114"/>
      <c r="J218" s="114"/>
      <c r="K218" s="114"/>
    </row>
    <row r="219" spans="1:11" ht="12.75">
      <c r="A219" s="114"/>
      <c r="B219" s="114"/>
      <c r="C219" s="114"/>
      <c r="D219" s="114"/>
      <c r="E219" s="114"/>
      <c r="F219" s="114"/>
      <c r="G219" s="114"/>
      <c r="H219" s="114"/>
      <c r="I219" s="114"/>
      <c r="J219" s="114"/>
      <c r="K219" s="114"/>
    </row>
    <row r="220" spans="1:11" ht="12.75">
      <c r="A220" s="114"/>
      <c r="B220" s="114"/>
      <c r="C220" s="114"/>
      <c r="D220" s="114"/>
      <c r="E220" s="114"/>
      <c r="F220" s="114"/>
      <c r="G220" s="114"/>
      <c r="H220" s="114"/>
      <c r="I220" s="114"/>
      <c r="J220" s="114"/>
      <c r="K220" s="114"/>
    </row>
    <row r="221" spans="1:11" ht="12.75">
      <c r="A221" s="114"/>
      <c r="B221" s="114"/>
      <c r="C221" s="114"/>
      <c r="D221" s="114"/>
      <c r="E221" s="114"/>
      <c r="F221" s="114"/>
      <c r="G221" s="114"/>
      <c r="H221" s="114"/>
      <c r="I221" s="114"/>
      <c r="J221" s="114"/>
      <c r="K221" s="114"/>
    </row>
    <row r="222" spans="1:11" ht="12.75">
      <c r="A222" s="114"/>
      <c r="B222" s="114"/>
      <c r="C222" s="114"/>
      <c r="D222" s="114"/>
      <c r="E222" s="114"/>
      <c r="F222" s="114"/>
      <c r="G222" s="114"/>
      <c r="H222" s="114"/>
      <c r="I222" s="114"/>
      <c r="J222" s="114"/>
      <c r="K222" s="114"/>
    </row>
    <row r="223" spans="1:11" ht="12.75">
      <c r="A223" s="114"/>
      <c r="B223" s="114"/>
      <c r="C223" s="114"/>
      <c r="D223" s="114"/>
      <c r="E223" s="114"/>
      <c r="F223" s="114"/>
      <c r="G223" s="114"/>
      <c r="H223" s="114"/>
      <c r="I223" s="114"/>
      <c r="J223" s="114"/>
      <c r="K223" s="114"/>
    </row>
    <row r="224" spans="1:11" ht="12.75">
      <c r="A224" s="114"/>
      <c r="B224" s="114"/>
      <c r="C224" s="114"/>
      <c r="D224" s="114"/>
      <c r="E224" s="114"/>
      <c r="F224" s="114"/>
      <c r="G224" s="114"/>
      <c r="H224" s="114"/>
      <c r="I224" s="114"/>
      <c r="J224" s="114"/>
      <c r="K224" s="114"/>
    </row>
    <row r="225" spans="1:11" ht="12.75">
      <c r="A225" s="114"/>
      <c r="B225" s="114"/>
      <c r="C225" s="114"/>
      <c r="D225" s="114"/>
      <c r="E225" s="114"/>
      <c r="F225" s="114"/>
      <c r="G225" s="114"/>
      <c r="H225" s="114"/>
      <c r="I225" s="114"/>
      <c r="J225" s="114"/>
      <c r="K225" s="114"/>
    </row>
    <row r="226" spans="1:11" ht="12.75">
      <c r="A226" s="114"/>
      <c r="B226" s="114"/>
      <c r="C226" s="114"/>
      <c r="D226" s="114"/>
      <c r="E226" s="114"/>
      <c r="F226" s="114"/>
      <c r="G226" s="114"/>
      <c r="H226" s="114"/>
      <c r="I226" s="114"/>
      <c r="J226" s="114"/>
      <c r="K226" s="114"/>
    </row>
    <row r="227" spans="1:11" ht="12.75">
      <c r="A227" s="114"/>
      <c r="B227" s="114"/>
      <c r="C227" s="114"/>
      <c r="D227" s="114"/>
      <c r="E227" s="114"/>
      <c r="F227" s="114"/>
      <c r="G227" s="114"/>
      <c r="H227" s="114"/>
      <c r="I227" s="114"/>
      <c r="J227" s="114"/>
      <c r="K227" s="114"/>
    </row>
    <row r="228" spans="1:11" ht="12.75">
      <c r="A228" s="114"/>
      <c r="B228" s="114"/>
      <c r="C228" s="114"/>
      <c r="D228" s="114"/>
      <c r="E228" s="114"/>
      <c r="F228" s="114"/>
      <c r="G228" s="114"/>
      <c r="H228" s="114"/>
      <c r="I228" s="114"/>
      <c r="J228" s="114"/>
      <c r="K228" s="114"/>
    </row>
    <row r="229" spans="1:11" ht="12.75">
      <c r="A229" s="114"/>
      <c r="B229" s="114"/>
      <c r="C229" s="114"/>
      <c r="D229" s="114"/>
      <c r="E229" s="114"/>
      <c r="F229" s="114"/>
      <c r="G229" s="114"/>
      <c r="H229" s="114"/>
      <c r="I229" s="114"/>
      <c r="J229" s="114"/>
      <c r="K229" s="114"/>
    </row>
    <row r="230" spans="1:11" ht="12.75">
      <c r="A230" s="114"/>
      <c r="B230" s="114"/>
      <c r="C230" s="114"/>
      <c r="D230" s="114"/>
      <c r="E230" s="114"/>
      <c r="F230" s="114"/>
      <c r="G230" s="114"/>
      <c r="H230" s="114"/>
      <c r="I230" s="114"/>
      <c r="J230" s="114"/>
      <c r="K230" s="114"/>
    </row>
    <row r="231" spans="1:11" ht="12.75">
      <c r="A231" s="114"/>
      <c r="B231" s="114"/>
      <c r="C231" s="114"/>
      <c r="D231" s="114"/>
      <c r="E231" s="114"/>
      <c r="F231" s="114"/>
      <c r="G231" s="114"/>
      <c r="H231" s="114"/>
      <c r="I231" s="114"/>
      <c r="J231" s="114"/>
      <c r="K231" s="114"/>
    </row>
    <row r="232" spans="1:11" ht="12.75">
      <c r="A232" s="114"/>
      <c r="B232" s="114"/>
      <c r="C232" s="114"/>
      <c r="D232" s="114"/>
      <c r="E232" s="114"/>
      <c r="F232" s="114"/>
      <c r="G232" s="114"/>
      <c r="H232" s="114"/>
      <c r="I232" s="114"/>
      <c r="J232" s="114"/>
      <c r="K232" s="114"/>
    </row>
    <row r="233" spans="1:11" ht="12.75">
      <c r="A233" s="114"/>
      <c r="B233" s="114"/>
      <c r="C233" s="114"/>
      <c r="D233" s="114"/>
      <c r="E233" s="114"/>
      <c r="F233" s="114"/>
      <c r="G233" s="114"/>
      <c r="H233" s="114"/>
      <c r="I233" s="114"/>
      <c r="J233" s="114"/>
      <c r="K233" s="114"/>
    </row>
    <row r="234" spans="1:11" ht="12.75">
      <c r="A234" s="114"/>
      <c r="B234" s="114"/>
      <c r="C234" s="114"/>
      <c r="D234" s="114"/>
      <c r="E234" s="114"/>
      <c r="F234" s="114"/>
      <c r="G234" s="114"/>
      <c r="H234" s="114"/>
      <c r="I234" s="114"/>
      <c r="J234" s="114"/>
      <c r="K234" s="114"/>
    </row>
    <row r="235" spans="1:11" ht="12.75">
      <c r="A235" s="114"/>
      <c r="B235" s="114"/>
      <c r="C235" s="114"/>
      <c r="D235" s="114"/>
      <c r="E235" s="114"/>
      <c r="F235" s="114"/>
      <c r="G235" s="114"/>
      <c r="H235" s="114"/>
      <c r="I235" s="114"/>
      <c r="J235" s="114"/>
      <c r="K235" s="114"/>
    </row>
    <row r="236" spans="1:11" ht="12.75">
      <c r="A236" s="114"/>
      <c r="B236" s="114"/>
      <c r="C236" s="114"/>
      <c r="D236" s="114"/>
      <c r="E236" s="114"/>
      <c r="F236" s="114"/>
      <c r="G236" s="114"/>
      <c r="H236" s="114"/>
      <c r="I236" s="114"/>
      <c r="J236" s="114"/>
      <c r="K236" s="114"/>
    </row>
    <row r="237" spans="1:11" ht="12.75">
      <c r="A237" s="114"/>
      <c r="B237" s="114"/>
      <c r="C237" s="114"/>
      <c r="D237" s="114"/>
      <c r="E237" s="114"/>
      <c r="F237" s="114"/>
      <c r="G237" s="114"/>
      <c r="H237" s="114"/>
      <c r="I237" s="114"/>
      <c r="J237" s="114"/>
      <c r="K237" s="114"/>
    </row>
    <row r="238" spans="1:11" ht="12.75">
      <c r="A238" s="114"/>
      <c r="B238" s="114"/>
      <c r="C238" s="114"/>
      <c r="D238" s="114"/>
      <c r="E238" s="114"/>
      <c r="F238" s="114"/>
      <c r="G238" s="114"/>
      <c r="H238" s="114"/>
      <c r="I238" s="114"/>
      <c r="J238" s="114"/>
      <c r="K238" s="114"/>
    </row>
    <row r="239" spans="1:11" ht="12.75">
      <c r="A239" s="114"/>
      <c r="B239" s="114"/>
      <c r="C239" s="114"/>
      <c r="D239" s="114"/>
      <c r="E239" s="114"/>
      <c r="F239" s="114"/>
      <c r="G239" s="114"/>
      <c r="H239" s="114"/>
      <c r="I239" s="114"/>
      <c r="J239" s="114"/>
      <c r="K239" s="114"/>
    </row>
    <row r="240" spans="1:11" ht="12.75">
      <c r="A240" s="114"/>
      <c r="B240" s="114"/>
      <c r="C240" s="114"/>
      <c r="D240" s="114"/>
      <c r="E240" s="114"/>
      <c r="F240" s="114"/>
      <c r="G240" s="114"/>
      <c r="H240" s="114"/>
      <c r="I240" s="114"/>
      <c r="J240" s="114"/>
      <c r="K240" s="114"/>
    </row>
    <row r="241" spans="1:11" ht="12.75">
      <c r="A241" s="114"/>
      <c r="B241" s="114"/>
      <c r="C241" s="114"/>
      <c r="D241" s="114"/>
      <c r="E241" s="114"/>
      <c r="F241" s="114"/>
      <c r="G241" s="114"/>
      <c r="H241" s="114"/>
      <c r="I241" s="114"/>
      <c r="J241" s="114"/>
      <c r="K241" s="114"/>
    </row>
    <row r="242" spans="1:11" ht="12.75">
      <c r="A242" s="114"/>
      <c r="B242" s="114"/>
      <c r="C242" s="114"/>
      <c r="D242" s="114"/>
      <c r="E242" s="114"/>
      <c r="F242" s="114"/>
      <c r="G242" s="114"/>
      <c r="H242" s="114"/>
      <c r="I242" s="114"/>
      <c r="J242" s="114"/>
      <c r="K242" s="114"/>
    </row>
    <row r="243" spans="1:11" ht="12.75">
      <c r="A243" s="114"/>
      <c r="B243" s="114"/>
      <c r="C243" s="114"/>
      <c r="D243" s="114"/>
      <c r="E243" s="114"/>
      <c r="F243" s="114"/>
      <c r="G243" s="114"/>
      <c r="H243" s="114"/>
      <c r="I243" s="114"/>
      <c r="J243" s="114"/>
      <c r="K243" s="114"/>
    </row>
    <row r="244" spans="1:11" ht="12.75">
      <c r="A244" s="114"/>
      <c r="B244" s="114"/>
      <c r="C244" s="114"/>
      <c r="D244" s="114"/>
      <c r="E244" s="114"/>
      <c r="F244" s="114"/>
      <c r="G244" s="114"/>
      <c r="H244" s="114"/>
      <c r="I244" s="114"/>
      <c r="J244" s="114"/>
      <c r="K244" s="114"/>
    </row>
    <row r="245" spans="1:11" ht="12.75">
      <c r="A245" s="114"/>
      <c r="B245" s="114"/>
      <c r="C245" s="114"/>
      <c r="D245" s="114"/>
      <c r="E245" s="114"/>
      <c r="F245" s="114"/>
      <c r="G245" s="114"/>
      <c r="H245" s="114"/>
      <c r="I245" s="114"/>
      <c r="J245" s="114"/>
      <c r="K245" s="114"/>
    </row>
    <row r="246" spans="1:11" ht="12.75">
      <c r="A246" s="114"/>
      <c r="B246" s="114"/>
      <c r="C246" s="114"/>
      <c r="D246" s="114"/>
      <c r="E246" s="114"/>
      <c r="F246" s="114"/>
      <c r="G246" s="114"/>
      <c r="H246" s="114"/>
      <c r="I246" s="114"/>
      <c r="J246" s="114"/>
      <c r="K246" s="114"/>
    </row>
    <row r="247" spans="1:11" ht="12.75">
      <c r="A247" s="114"/>
      <c r="B247" s="114"/>
      <c r="C247" s="114"/>
      <c r="D247" s="114"/>
      <c r="E247" s="114"/>
      <c r="F247" s="114"/>
      <c r="G247" s="114"/>
      <c r="H247" s="114"/>
      <c r="I247" s="114"/>
      <c r="J247" s="114"/>
      <c r="K247" s="114"/>
    </row>
    <row r="248" spans="1:11" ht="12.75">
      <c r="A248" s="114"/>
      <c r="B248" s="114"/>
      <c r="C248" s="114"/>
      <c r="D248" s="114"/>
      <c r="E248" s="114"/>
      <c r="F248" s="114"/>
      <c r="G248" s="114"/>
      <c r="H248" s="114"/>
      <c r="I248" s="114"/>
      <c r="J248" s="114"/>
      <c r="K248" s="114"/>
    </row>
    <row r="249" spans="1:11" ht="12.75">
      <c r="A249" s="114"/>
      <c r="B249" s="114"/>
      <c r="C249" s="114"/>
      <c r="D249" s="114"/>
      <c r="E249" s="114"/>
      <c r="F249" s="114"/>
      <c r="G249" s="114"/>
      <c r="H249" s="114"/>
      <c r="I249" s="114"/>
      <c r="J249" s="114"/>
      <c r="K249" s="114"/>
    </row>
    <row r="250" spans="1:11" ht="12.75">
      <c r="A250" s="114"/>
      <c r="B250" s="114"/>
      <c r="C250" s="114"/>
      <c r="D250" s="114"/>
      <c r="E250" s="114"/>
      <c r="F250" s="114"/>
      <c r="G250" s="114"/>
      <c r="H250" s="114"/>
      <c r="I250" s="114"/>
      <c r="J250" s="114"/>
      <c r="K250" s="114"/>
    </row>
    <row r="251" spans="1:11" ht="12.75">
      <c r="A251" s="114"/>
      <c r="B251" s="114"/>
      <c r="C251" s="114"/>
      <c r="D251" s="114"/>
      <c r="E251" s="114"/>
      <c r="F251" s="114"/>
      <c r="G251" s="114"/>
      <c r="H251" s="114"/>
      <c r="I251" s="114"/>
      <c r="J251" s="114"/>
      <c r="K251" s="114"/>
    </row>
    <row r="252" spans="1:11" ht="12.75">
      <c r="A252" s="114"/>
      <c r="B252" s="114"/>
      <c r="C252" s="114"/>
      <c r="D252" s="114"/>
      <c r="E252" s="114"/>
      <c r="F252" s="114"/>
      <c r="G252" s="114"/>
      <c r="H252" s="114"/>
      <c r="I252" s="114"/>
      <c r="J252" s="114"/>
      <c r="K252" s="114"/>
    </row>
    <row r="253" spans="1:11" ht="12.75">
      <c r="A253" s="114"/>
      <c r="B253" s="114"/>
      <c r="C253" s="114"/>
      <c r="D253" s="114"/>
      <c r="E253" s="114"/>
      <c r="F253" s="114"/>
      <c r="G253" s="114"/>
      <c r="H253" s="114"/>
      <c r="I253" s="114"/>
      <c r="J253" s="114"/>
      <c r="K253" s="114"/>
    </row>
    <row r="254" spans="1:11" ht="12.75">
      <c r="A254" s="114"/>
      <c r="B254" s="114"/>
      <c r="C254" s="114"/>
      <c r="D254" s="114"/>
      <c r="E254" s="114"/>
      <c r="F254" s="114"/>
      <c r="G254" s="114"/>
      <c r="H254" s="114"/>
      <c r="I254" s="114"/>
      <c r="J254" s="114"/>
      <c r="K254" s="114"/>
    </row>
    <row r="255" spans="1:11" ht="12.75">
      <c r="A255" s="114"/>
      <c r="B255" s="114"/>
      <c r="C255" s="114"/>
      <c r="D255" s="114"/>
      <c r="E255" s="114"/>
      <c r="F255" s="114"/>
      <c r="G255" s="114"/>
      <c r="H255" s="114"/>
      <c r="I255" s="114"/>
      <c r="J255" s="114"/>
      <c r="K255" s="114"/>
    </row>
    <row r="256" spans="1:11" ht="12.75">
      <c r="A256" s="114"/>
      <c r="B256" s="114"/>
      <c r="C256" s="114"/>
      <c r="D256" s="114"/>
      <c r="E256" s="114"/>
      <c r="F256" s="114"/>
      <c r="G256" s="114"/>
      <c r="H256" s="114"/>
      <c r="I256" s="114"/>
      <c r="J256" s="114"/>
      <c r="K256" s="114"/>
    </row>
    <row r="257" spans="1:11" ht="12.75">
      <c r="A257" s="114"/>
      <c r="B257" s="114"/>
      <c r="C257" s="114"/>
      <c r="D257" s="114"/>
      <c r="E257" s="114"/>
      <c r="F257" s="114"/>
      <c r="G257" s="114"/>
      <c r="H257" s="114"/>
      <c r="I257" s="114"/>
      <c r="J257" s="114"/>
      <c r="K257" s="114"/>
    </row>
    <row r="258" spans="1:11" ht="12.75">
      <c r="A258" s="114"/>
      <c r="B258" s="114"/>
      <c r="C258" s="114"/>
      <c r="D258" s="114"/>
      <c r="E258" s="114"/>
      <c r="F258" s="114"/>
      <c r="G258" s="114"/>
      <c r="H258" s="114"/>
      <c r="I258" s="114"/>
      <c r="J258" s="114"/>
      <c r="K258" s="114"/>
    </row>
    <row r="259" spans="1:11" ht="12.75">
      <c r="A259" s="114"/>
      <c r="B259" s="114"/>
      <c r="C259" s="114"/>
      <c r="D259" s="114"/>
      <c r="E259" s="114"/>
      <c r="F259" s="114"/>
      <c r="G259" s="114"/>
      <c r="H259" s="114"/>
      <c r="I259" s="114"/>
      <c r="J259" s="114"/>
      <c r="K259" s="114"/>
    </row>
    <row r="260" spans="1:11" ht="12.75">
      <c r="A260" s="114"/>
      <c r="B260" s="114"/>
      <c r="C260" s="114"/>
      <c r="D260" s="114"/>
      <c r="E260" s="114"/>
      <c r="F260" s="114"/>
      <c r="G260" s="114"/>
      <c r="H260" s="114"/>
      <c r="I260" s="114"/>
      <c r="J260" s="114"/>
      <c r="K260" s="114"/>
    </row>
    <row r="261" spans="1:11" ht="12.75">
      <c r="A261" s="114"/>
      <c r="B261" s="114"/>
      <c r="C261" s="114"/>
      <c r="D261" s="114"/>
      <c r="E261" s="114"/>
      <c r="F261" s="114"/>
      <c r="G261" s="114"/>
      <c r="H261" s="114"/>
      <c r="I261" s="114"/>
      <c r="J261" s="114"/>
      <c r="K261" s="114"/>
    </row>
    <row r="262" spans="1:11" ht="12.75">
      <c r="A262" s="114"/>
      <c r="B262" s="114"/>
      <c r="C262" s="114"/>
      <c r="D262" s="114"/>
      <c r="E262" s="114"/>
      <c r="F262" s="114"/>
      <c r="G262" s="114"/>
      <c r="H262" s="114"/>
      <c r="I262" s="114"/>
      <c r="J262" s="114"/>
      <c r="K262" s="114"/>
    </row>
    <row r="263" spans="1:11" ht="12.75">
      <c r="A263" s="114"/>
      <c r="B263" s="114"/>
      <c r="C263" s="114"/>
      <c r="D263" s="114"/>
      <c r="E263" s="114"/>
      <c r="F263" s="114"/>
      <c r="G263" s="114"/>
      <c r="H263" s="114"/>
      <c r="I263" s="114"/>
      <c r="J263" s="114"/>
      <c r="K263" s="114"/>
    </row>
    <row r="264" spans="1:11" ht="12.75">
      <c r="A264" s="114"/>
      <c r="B264" s="114"/>
      <c r="C264" s="114"/>
      <c r="D264" s="114"/>
      <c r="E264" s="114"/>
      <c r="F264" s="114"/>
      <c r="G264" s="114"/>
      <c r="H264" s="114"/>
      <c r="I264" s="114"/>
      <c r="J264" s="114"/>
      <c r="K264" s="114"/>
    </row>
    <row r="265" spans="1:11" ht="12.75">
      <c r="A265" s="114"/>
      <c r="B265" s="114"/>
      <c r="C265" s="114"/>
      <c r="D265" s="114"/>
      <c r="E265" s="114"/>
      <c r="F265" s="114"/>
      <c r="G265" s="114"/>
      <c r="H265" s="114"/>
      <c r="I265" s="114"/>
      <c r="J265" s="114"/>
      <c r="K265" s="114"/>
    </row>
    <row r="266" spans="1:11" ht="12.75">
      <c r="A266" s="114"/>
      <c r="B266" s="114"/>
      <c r="C266" s="114"/>
      <c r="D266" s="114"/>
      <c r="E266" s="114"/>
      <c r="F266" s="114"/>
      <c r="G266" s="114"/>
      <c r="H266" s="114"/>
      <c r="I266" s="114"/>
      <c r="J266" s="114"/>
      <c r="K266" s="114"/>
    </row>
    <row r="267" spans="1:11" ht="12.75">
      <c r="A267" s="114"/>
      <c r="B267" s="114"/>
      <c r="C267" s="114"/>
      <c r="D267" s="114"/>
      <c r="E267" s="114"/>
      <c r="F267" s="114"/>
      <c r="G267" s="114"/>
      <c r="H267" s="114"/>
      <c r="I267" s="114"/>
      <c r="J267" s="114"/>
      <c r="K267" s="114"/>
    </row>
    <row r="268" spans="1:11" ht="12.75">
      <c r="A268" s="114"/>
      <c r="B268" s="114"/>
      <c r="C268" s="114"/>
      <c r="D268" s="114"/>
      <c r="E268" s="114"/>
      <c r="F268" s="114"/>
      <c r="G268" s="114"/>
      <c r="H268" s="114"/>
      <c r="I268" s="114"/>
      <c r="J268" s="114"/>
      <c r="K268" s="114"/>
    </row>
    <row r="269" spans="1:11" ht="12.75">
      <c r="A269" s="114"/>
      <c r="B269" s="114"/>
      <c r="C269" s="114"/>
      <c r="D269" s="114"/>
      <c r="E269" s="114"/>
      <c r="F269" s="114"/>
      <c r="G269" s="114"/>
      <c r="H269" s="114"/>
      <c r="I269" s="114"/>
      <c r="J269" s="114"/>
      <c r="K269" s="114"/>
    </row>
    <row r="270" spans="1:11" ht="12.75">
      <c r="A270" s="114"/>
      <c r="B270" s="114"/>
      <c r="C270" s="114"/>
      <c r="D270" s="114"/>
      <c r="E270" s="114"/>
      <c r="F270" s="114"/>
      <c r="G270" s="114"/>
      <c r="H270" s="114"/>
      <c r="I270" s="114"/>
      <c r="J270" s="114"/>
      <c r="K270" s="114"/>
    </row>
    <row r="271" spans="1:11" ht="12.75">
      <c r="A271" s="114"/>
      <c r="B271" s="114"/>
      <c r="C271" s="114"/>
      <c r="D271" s="114"/>
      <c r="E271" s="114"/>
      <c r="F271" s="114"/>
      <c r="G271" s="114"/>
      <c r="H271" s="114"/>
      <c r="I271" s="114"/>
      <c r="J271" s="114"/>
      <c r="K271" s="114"/>
    </row>
    <row r="272" spans="1:11" ht="12.75">
      <c r="A272" s="114"/>
      <c r="B272" s="114"/>
      <c r="C272" s="114"/>
      <c r="D272" s="114"/>
      <c r="E272" s="114"/>
      <c r="F272" s="114"/>
      <c r="G272" s="114"/>
      <c r="H272" s="114"/>
      <c r="I272" s="114"/>
      <c r="J272" s="114"/>
      <c r="K272" s="114"/>
    </row>
    <row r="273" spans="1:11" ht="12.75">
      <c r="A273" s="114"/>
      <c r="B273" s="114"/>
      <c r="C273" s="114"/>
      <c r="D273" s="114"/>
      <c r="E273" s="114"/>
      <c r="F273" s="114"/>
      <c r="G273" s="114"/>
      <c r="H273" s="114"/>
      <c r="I273" s="114"/>
      <c r="J273" s="114"/>
      <c r="K273" s="114"/>
    </row>
    <row r="274" spans="1:11" ht="12.75">
      <c r="A274" s="114"/>
      <c r="B274" s="114"/>
      <c r="C274" s="114"/>
      <c r="D274" s="114"/>
      <c r="E274" s="114"/>
      <c r="F274" s="114"/>
      <c r="G274" s="114"/>
      <c r="H274" s="114"/>
      <c r="I274" s="114"/>
      <c r="J274" s="114"/>
      <c r="K274" s="114"/>
    </row>
    <row r="275" spans="1:11" ht="12.75">
      <c r="A275" s="114"/>
      <c r="B275" s="114"/>
      <c r="C275" s="114"/>
      <c r="D275" s="114"/>
      <c r="E275" s="114"/>
      <c r="F275" s="114"/>
      <c r="G275" s="114"/>
      <c r="H275" s="114"/>
      <c r="I275" s="114"/>
      <c r="J275" s="114"/>
      <c r="K275" s="114"/>
    </row>
    <row r="276" spans="1:11" ht="12.75">
      <c r="A276" s="114"/>
      <c r="B276" s="114"/>
      <c r="C276" s="114"/>
      <c r="D276" s="114"/>
      <c r="E276" s="114"/>
      <c r="F276" s="114"/>
      <c r="G276" s="114"/>
      <c r="H276" s="114"/>
      <c r="I276" s="114"/>
      <c r="J276" s="114"/>
      <c r="K276" s="114"/>
    </row>
    <row r="277" spans="1:11" ht="12.75">
      <c r="A277" s="114"/>
      <c r="B277" s="114"/>
      <c r="C277" s="114"/>
      <c r="D277" s="114"/>
      <c r="E277" s="114"/>
      <c r="F277" s="114"/>
      <c r="G277" s="114"/>
      <c r="H277" s="114"/>
      <c r="I277" s="114"/>
      <c r="J277" s="114"/>
      <c r="K277" s="114"/>
    </row>
    <row r="278" spans="1:11" ht="12.75">
      <c r="A278" s="114"/>
      <c r="B278" s="114"/>
      <c r="C278" s="114"/>
      <c r="D278" s="114"/>
      <c r="E278" s="114"/>
      <c r="F278" s="114"/>
      <c r="G278" s="114"/>
      <c r="H278" s="114"/>
      <c r="I278" s="114"/>
      <c r="J278" s="114"/>
      <c r="K278" s="114"/>
    </row>
    <row r="279" spans="1:11" ht="12.75">
      <c r="A279" s="114"/>
      <c r="B279" s="114"/>
      <c r="C279" s="114"/>
      <c r="D279" s="114"/>
      <c r="E279" s="114"/>
      <c r="F279" s="114"/>
      <c r="G279" s="114"/>
      <c r="H279" s="114"/>
      <c r="I279" s="114"/>
      <c r="J279" s="114"/>
      <c r="K279" s="114"/>
    </row>
    <row r="280" spans="1:11" ht="12.75">
      <c r="A280" s="114"/>
      <c r="B280" s="114"/>
      <c r="C280" s="114"/>
      <c r="D280" s="114"/>
      <c r="E280" s="114"/>
      <c r="F280" s="114"/>
      <c r="G280" s="114"/>
      <c r="H280" s="114"/>
      <c r="I280" s="114"/>
      <c r="J280" s="114"/>
      <c r="K280" s="114"/>
    </row>
    <row r="281" spans="1:11" ht="12.75">
      <c r="A281" s="114"/>
      <c r="B281" s="114"/>
      <c r="C281" s="114"/>
      <c r="D281" s="114"/>
      <c r="E281" s="114"/>
      <c r="F281" s="114"/>
      <c r="G281" s="114"/>
      <c r="H281" s="114"/>
      <c r="I281" s="114"/>
      <c r="J281" s="114"/>
      <c r="K281" s="114"/>
    </row>
    <row r="282" spans="1:11" ht="12.75">
      <c r="A282" s="114"/>
      <c r="B282" s="114"/>
      <c r="C282" s="114"/>
      <c r="D282" s="114"/>
      <c r="E282" s="114"/>
      <c r="F282" s="114"/>
      <c r="G282" s="114"/>
      <c r="H282" s="114"/>
      <c r="I282" s="114"/>
      <c r="J282" s="114"/>
      <c r="K282" s="114"/>
    </row>
    <row r="283" spans="1:11" ht="12.75">
      <c r="A283" s="114"/>
      <c r="B283" s="114"/>
      <c r="C283" s="114"/>
      <c r="D283" s="114"/>
      <c r="E283" s="114"/>
      <c r="F283" s="114"/>
      <c r="G283" s="114"/>
      <c r="H283" s="114"/>
      <c r="I283" s="114"/>
      <c r="J283" s="114"/>
      <c r="K283" s="114"/>
    </row>
    <row r="284" spans="1:11" ht="12.75">
      <c r="A284" s="114"/>
      <c r="B284" s="114"/>
      <c r="C284" s="114"/>
      <c r="D284" s="114"/>
      <c r="E284" s="114"/>
      <c r="F284" s="114"/>
      <c r="G284" s="114"/>
      <c r="H284" s="114"/>
      <c r="I284" s="114"/>
      <c r="J284" s="114"/>
      <c r="K284" s="114"/>
    </row>
    <row r="285" spans="1:11" ht="12.75">
      <c r="A285" s="114"/>
      <c r="B285" s="114"/>
      <c r="C285" s="114"/>
      <c r="D285" s="114"/>
      <c r="E285" s="114"/>
      <c r="F285" s="114"/>
      <c r="G285" s="114"/>
      <c r="H285" s="114"/>
      <c r="I285" s="114"/>
      <c r="J285" s="114"/>
      <c r="K285" s="114"/>
    </row>
    <row r="286" spans="1:11" ht="12.75">
      <c r="A286" s="114"/>
      <c r="B286" s="114"/>
      <c r="C286" s="114"/>
      <c r="D286" s="114"/>
      <c r="E286" s="114"/>
      <c r="F286" s="114"/>
      <c r="G286" s="114"/>
      <c r="H286" s="114"/>
      <c r="I286" s="114"/>
      <c r="J286" s="114"/>
      <c r="K286" s="114"/>
    </row>
    <row r="287" spans="1:11" ht="12.75">
      <c r="A287" s="114"/>
      <c r="B287" s="114"/>
      <c r="C287" s="114"/>
      <c r="D287" s="114"/>
      <c r="E287" s="114"/>
      <c r="F287" s="114"/>
      <c r="G287" s="114"/>
      <c r="H287" s="114"/>
      <c r="I287" s="114"/>
      <c r="J287" s="114"/>
      <c r="K287" s="114"/>
    </row>
    <row r="288" spans="1:11" ht="12.75">
      <c r="A288" s="114"/>
      <c r="B288" s="114"/>
      <c r="C288" s="114"/>
      <c r="D288" s="114"/>
      <c r="E288" s="114"/>
      <c r="F288" s="114"/>
      <c r="G288" s="114"/>
      <c r="H288" s="114"/>
      <c r="I288" s="114"/>
      <c r="J288" s="114"/>
      <c r="K288" s="114"/>
    </row>
    <row r="289" spans="1:11" ht="12.75">
      <c r="A289" s="114"/>
      <c r="B289" s="114"/>
      <c r="C289" s="114"/>
      <c r="D289" s="114"/>
      <c r="E289" s="114"/>
      <c r="F289" s="114"/>
      <c r="G289" s="114"/>
      <c r="H289" s="114"/>
      <c r="I289" s="114"/>
      <c r="J289" s="114"/>
      <c r="K289" s="114"/>
    </row>
    <row r="290" spans="1:11" ht="12.75">
      <c r="A290" s="114"/>
      <c r="B290" s="114"/>
      <c r="C290" s="114"/>
      <c r="D290" s="114"/>
      <c r="E290" s="114"/>
      <c r="F290" s="114"/>
      <c r="G290" s="114"/>
      <c r="H290" s="114"/>
      <c r="I290" s="114"/>
      <c r="J290" s="114"/>
      <c r="K290" s="114"/>
    </row>
    <row r="291" spans="1:11" ht="12.75">
      <c r="A291" s="114"/>
      <c r="B291" s="114"/>
      <c r="C291" s="114"/>
      <c r="D291" s="114"/>
      <c r="E291" s="114"/>
      <c r="F291" s="114"/>
      <c r="G291" s="114"/>
      <c r="H291" s="114"/>
      <c r="I291" s="114"/>
      <c r="J291" s="114"/>
      <c r="K291" s="114"/>
    </row>
    <row r="292" spans="1:11" ht="12.75">
      <c r="A292" s="114"/>
      <c r="B292" s="114"/>
      <c r="C292" s="114"/>
      <c r="D292" s="114"/>
      <c r="E292" s="114"/>
      <c r="F292" s="114"/>
      <c r="G292" s="114"/>
      <c r="H292" s="114"/>
      <c r="I292" s="114"/>
      <c r="J292" s="114"/>
      <c r="K292" s="114"/>
    </row>
    <row r="293" spans="1:11" ht="12.75">
      <c r="A293" s="114"/>
      <c r="B293" s="114"/>
      <c r="C293" s="114"/>
      <c r="D293" s="114"/>
      <c r="E293" s="114"/>
      <c r="F293" s="114"/>
      <c r="G293" s="114"/>
      <c r="H293" s="114"/>
      <c r="I293" s="114"/>
      <c r="J293" s="114"/>
      <c r="K293" s="114"/>
    </row>
    <row r="294" spans="1:11" ht="12.75">
      <c r="A294" s="114"/>
      <c r="B294" s="114"/>
      <c r="C294" s="114"/>
      <c r="D294" s="114"/>
      <c r="E294" s="114"/>
      <c r="F294" s="114"/>
      <c r="G294" s="114"/>
      <c r="H294" s="114"/>
      <c r="I294" s="114"/>
      <c r="J294" s="114"/>
      <c r="K294" s="114"/>
    </row>
    <row r="295" spans="1:11" ht="12.75">
      <c r="A295" s="114"/>
      <c r="B295" s="114"/>
      <c r="C295" s="114"/>
      <c r="D295" s="114"/>
      <c r="E295" s="114"/>
      <c r="F295" s="114"/>
      <c r="G295" s="114"/>
      <c r="H295" s="114"/>
      <c r="I295" s="114"/>
      <c r="J295" s="114"/>
      <c r="K295" s="114"/>
    </row>
    <row r="296" spans="1:11" ht="12.75">
      <c r="A296" s="114"/>
      <c r="B296" s="114"/>
      <c r="C296" s="114"/>
      <c r="D296" s="114"/>
      <c r="E296" s="114"/>
      <c r="F296" s="114"/>
      <c r="G296" s="114"/>
      <c r="H296" s="114"/>
      <c r="I296" s="114"/>
      <c r="J296" s="114"/>
      <c r="K296" s="114"/>
    </row>
    <row r="297" spans="1:11" ht="12.75">
      <c r="A297" s="114"/>
      <c r="B297" s="114"/>
      <c r="C297" s="114"/>
      <c r="D297" s="114"/>
      <c r="E297" s="114"/>
      <c r="F297" s="114"/>
      <c r="G297" s="114"/>
      <c r="H297" s="114"/>
      <c r="I297" s="114"/>
      <c r="J297" s="114"/>
      <c r="K297" s="114"/>
    </row>
    <row r="298" spans="1:11" ht="12.75">
      <c r="A298" s="114"/>
      <c r="B298" s="114"/>
      <c r="C298" s="114"/>
      <c r="D298" s="114"/>
      <c r="E298" s="114"/>
      <c r="F298" s="114"/>
      <c r="G298" s="114"/>
      <c r="H298" s="114"/>
      <c r="I298" s="114"/>
      <c r="J298" s="114"/>
      <c r="K298" s="114"/>
    </row>
    <row r="299" spans="1:11" ht="12.75">
      <c r="A299" s="114"/>
      <c r="B299" s="114"/>
      <c r="C299" s="114"/>
      <c r="D299" s="114"/>
      <c r="E299" s="114"/>
      <c r="F299" s="114"/>
      <c r="G299" s="114"/>
      <c r="H299" s="114"/>
      <c r="I299" s="114"/>
      <c r="J299" s="114"/>
      <c r="K299" s="114"/>
    </row>
    <row r="300" spans="1:11" ht="12.75">
      <c r="A300" s="114"/>
      <c r="B300" s="114"/>
      <c r="C300" s="114"/>
      <c r="D300" s="114"/>
      <c r="E300" s="114"/>
      <c r="F300" s="114"/>
      <c r="G300" s="114"/>
      <c r="H300" s="114"/>
      <c r="I300" s="114"/>
      <c r="J300" s="114"/>
      <c r="K300" s="114"/>
    </row>
    <row r="301" spans="1:11" ht="12.75">
      <c r="A301" s="114"/>
      <c r="B301" s="114"/>
      <c r="C301" s="114"/>
      <c r="D301" s="114"/>
      <c r="E301" s="114"/>
      <c r="F301" s="114"/>
      <c r="G301" s="114"/>
      <c r="H301" s="114"/>
      <c r="I301" s="114"/>
      <c r="J301" s="114"/>
      <c r="K301" s="114"/>
    </row>
    <row r="302" spans="1:11" ht="12.75">
      <c r="A302" s="114"/>
      <c r="B302" s="114"/>
      <c r="C302" s="114"/>
      <c r="D302" s="114"/>
      <c r="E302" s="114"/>
      <c r="F302" s="114"/>
      <c r="G302" s="114"/>
      <c r="H302" s="114"/>
      <c r="I302" s="114"/>
      <c r="J302" s="114"/>
      <c r="K302" s="114"/>
    </row>
    <row r="303" spans="1:11" ht="12.75">
      <c r="A303" s="114"/>
      <c r="B303" s="114"/>
      <c r="C303" s="114"/>
      <c r="D303" s="114"/>
      <c r="E303" s="114"/>
      <c r="F303" s="114"/>
      <c r="G303" s="114"/>
      <c r="H303" s="114"/>
      <c r="I303" s="114"/>
      <c r="J303" s="114"/>
      <c r="K303" s="114"/>
    </row>
    <row r="304" spans="1:11" ht="12.75">
      <c r="A304" s="114"/>
      <c r="B304" s="114"/>
      <c r="C304" s="114"/>
      <c r="D304" s="114"/>
      <c r="E304" s="114"/>
      <c r="F304" s="114"/>
      <c r="G304" s="114"/>
      <c r="H304" s="114"/>
      <c r="I304" s="114"/>
      <c r="J304" s="114"/>
      <c r="K304" s="114"/>
    </row>
    <row r="305" spans="1:11" ht="12.75">
      <c r="A305" s="114"/>
      <c r="B305" s="114"/>
      <c r="C305" s="114"/>
      <c r="D305" s="114"/>
      <c r="E305" s="114"/>
      <c r="F305" s="114"/>
      <c r="G305" s="114"/>
      <c r="H305" s="114"/>
      <c r="I305" s="114"/>
      <c r="J305" s="114"/>
      <c r="K305" s="114"/>
    </row>
    <row r="306" spans="1:11" ht="12.75">
      <c r="A306" s="114"/>
      <c r="B306" s="114"/>
      <c r="C306" s="114"/>
      <c r="D306" s="114"/>
      <c r="E306" s="114"/>
      <c r="F306" s="114"/>
      <c r="G306" s="114"/>
      <c r="H306" s="114"/>
      <c r="I306" s="114"/>
      <c r="J306" s="114"/>
      <c r="K306" s="114"/>
    </row>
    <row r="307" spans="1:11" ht="12.75">
      <c r="A307" s="114"/>
      <c r="B307" s="114"/>
      <c r="C307" s="114"/>
      <c r="D307" s="114"/>
      <c r="E307" s="114"/>
      <c r="F307" s="114"/>
      <c r="G307" s="114"/>
      <c r="H307" s="114"/>
      <c r="I307" s="114"/>
      <c r="J307" s="114"/>
      <c r="K307" s="114"/>
    </row>
    <row r="308" spans="1:11" ht="12.75">
      <c r="A308" s="114"/>
      <c r="B308" s="114"/>
      <c r="C308" s="114"/>
      <c r="D308" s="114"/>
      <c r="E308" s="114"/>
      <c r="F308" s="114"/>
      <c r="G308" s="114"/>
      <c r="H308" s="114"/>
      <c r="I308" s="114"/>
      <c r="J308" s="114"/>
      <c r="K308" s="114"/>
    </row>
    <row r="309" spans="1:11" ht="12.75">
      <c r="A309" s="114"/>
      <c r="B309" s="114"/>
      <c r="C309" s="114"/>
      <c r="D309" s="114"/>
      <c r="E309" s="114"/>
      <c r="F309" s="114"/>
      <c r="G309" s="114"/>
      <c r="H309" s="114"/>
      <c r="I309" s="114"/>
      <c r="J309" s="114"/>
      <c r="K309" s="114"/>
    </row>
    <row r="310" spans="1:11" ht="12.75">
      <c r="A310" s="114"/>
      <c r="B310" s="114"/>
      <c r="C310" s="114"/>
      <c r="D310" s="114"/>
      <c r="E310" s="114"/>
      <c r="F310" s="114"/>
      <c r="G310" s="114"/>
      <c r="H310" s="114"/>
      <c r="I310" s="114"/>
      <c r="J310" s="114"/>
      <c r="K310" s="114"/>
    </row>
    <row r="311" spans="1:11" ht="12.75">
      <c r="A311" s="114"/>
      <c r="B311" s="114"/>
      <c r="C311" s="114"/>
      <c r="D311" s="114"/>
      <c r="E311" s="114"/>
      <c r="F311" s="114"/>
      <c r="G311" s="114"/>
      <c r="H311" s="114"/>
      <c r="I311" s="114"/>
      <c r="J311" s="114"/>
      <c r="K311" s="114"/>
    </row>
    <row r="312" spans="1:11" ht="12.75">
      <c r="A312" s="114"/>
      <c r="B312" s="114"/>
      <c r="C312" s="114"/>
      <c r="D312" s="114"/>
      <c r="E312" s="114"/>
      <c r="F312" s="114"/>
      <c r="G312" s="114"/>
      <c r="H312" s="114"/>
      <c r="I312" s="114"/>
      <c r="J312" s="114"/>
      <c r="K312" s="114"/>
    </row>
    <row r="313" spans="1:11" ht="12.75">
      <c r="A313" s="114"/>
      <c r="B313" s="114"/>
      <c r="C313" s="114"/>
      <c r="D313" s="114"/>
      <c r="E313" s="114"/>
      <c r="F313" s="114"/>
      <c r="G313" s="114"/>
      <c r="H313" s="114"/>
      <c r="I313" s="114"/>
      <c r="J313" s="114"/>
      <c r="K313" s="114"/>
    </row>
    <row r="314" spans="1:11" ht="12.75">
      <c r="A314" s="114"/>
      <c r="B314" s="114"/>
      <c r="C314" s="114"/>
      <c r="D314" s="114"/>
      <c r="E314" s="114"/>
      <c r="F314" s="114"/>
      <c r="G314" s="114"/>
      <c r="H314" s="114"/>
      <c r="I314" s="114"/>
      <c r="J314" s="114"/>
      <c r="K314" s="114"/>
    </row>
    <row r="315" spans="1:11" ht="12.75">
      <c r="A315" s="114"/>
      <c r="B315" s="114"/>
      <c r="C315" s="114"/>
      <c r="D315" s="114"/>
      <c r="E315" s="114"/>
      <c r="F315" s="114"/>
      <c r="G315" s="114"/>
      <c r="H315" s="114"/>
      <c r="I315" s="114"/>
      <c r="J315" s="114"/>
      <c r="K315" s="114"/>
    </row>
    <row r="316" spans="1:11" ht="12.75">
      <c r="A316" s="114"/>
      <c r="B316" s="114"/>
      <c r="C316" s="114"/>
      <c r="D316" s="114"/>
      <c r="E316" s="114"/>
      <c r="F316" s="114"/>
      <c r="G316" s="114"/>
      <c r="H316" s="114"/>
      <c r="I316" s="114"/>
      <c r="J316" s="114"/>
      <c r="K316" s="114"/>
    </row>
    <row r="317" spans="1:11" ht="12.75">
      <c r="A317" s="114"/>
      <c r="B317" s="114"/>
      <c r="C317" s="114"/>
      <c r="D317" s="114"/>
      <c r="E317" s="114"/>
      <c r="F317" s="114"/>
      <c r="G317" s="114"/>
      <c r="H317" s="114"/>
      <c r="I317" s="114"/>
      <c r="J317" s="114"/>
      <c r="K317" s="114"/>
    </row>
    <row r="318" spans="1:11" ht="12.75">
      <c r="A318" s="114"/>
      <c r="B318" s="114"/>
      <c r="C318" s="114"/>
      <c r="D318" s="114"/>
      <c r="E318" s="114"/>
      <c r="F318" s="114"/>
      <c r="G318" s="114"/>
      <c r="H318" s="114"/>
      <c r="I318" s="114"/>
      <c r="J318" s="114"/>
      <c r="K318" s="114"/>
    </row>
    <row r="319" spans="1:11" ht="12.75">
      <c r="A319" s="114"/>
      <c r="B319" s="114"/>
      <c r="C319" s="114"/>
      <c r="D319" s="114"/>
      <c r="E319" s="114"/>
      <c r="F319" s="114"/>
      <c r="G319" s="114"/>
      <c r="H319" s="114"/>
      <c r="I319" s="114"/>
      <c r="J319" s="114"/>
      <c r="K319" s="114"/>
    </row>
    <row r="320" spans="1:11" ht="12.75">
      <c r="A320" s="114"/>
      <c r="B320" s="114"/>
      <c r="C320" s="114"/>
      <c r="D320" s="114"/>
      <c r="E320" s="114"/>
      <c r="F320" s="114"/>
      <c r="G320" s="114"/>
      <c r="H320" s="114"/>
      <c r="I320" s="114"/>
      <c r="J320" s="114"/>
      <c r="K320" s="114"/>
    </row>
    <row r="321" spans="1:11" ht="12.75">
      <c r="A321" s="114"/>
      <c r="B321" s="114"/>
      <c r="C321" s="114"/>
      <c r="D321" s="114"/>
      <c r="E321" s="114"/>
      <c r="F321" s="114"/>
      <c r="G321" s="114"/>
      <c r="H321" s="114"/>
      <c r="I321" s="114"/>
      <c r="J321" s="114"/>
      <c r="K321" s="114"/>
    </row>
    <row r="322" spans="1:11" ht="12.75">
      <c r="A322" s="114"/>
      <c r="B322" s="114"/>
      <c r="C322" s="114"/>
      <c r="D322" s="114"/>
      <c r="E322" s="114"/>
      <c r="F322" s="114"/>
      <c r="G322" s="114"/>
      <c r="H322" s="114"/>
      <c r="I322" s="114"/>
      <c r="J322" s="114"/>
      <c r="K322" s="114"/>
    </row>
    <row r="323" spans="1:11" ht="12.75">
      <c r="A323" s="114"/>
      <c r="B323" s="114"/>
      <c r="C323" s="114"/>
      <c r="D323" s="114"/>
      <c r="E323" s="114"/>
      <c r="F323" s="114"/>
      <c r="G323" s="114"/>
      <c r="H323" s="114"/>
      <c r="I323" s="114"/>
      <c r="J323" s="114"/>
      <c r="K323" s="114"/>
    </row>
    <row r="324" spans="1:11" ht="12.75">
      <c r="A324" s="114"/>
      <c r="B324" s="114"/>
      <c r="C324" s="114"/>
      <c r="D324" s="114"/>
      <c r="E324" s="114"/>
      <c r="F324" s="114"/>
      <c r="G324" s="114"/>
      <c r="H324" s="114"/>
      <c r="I324" s="114"/>
      <c r="J324" s="114"/>
      <c r="K324" s="114"/>
    </row>
    <row r="325" spans="1:11" ht="12.75">
      <c r="A325" s="114"/>
      <c r="B325" s="114"/>
      <c r="C325" s="114"/>
      <c r="D325" s="114"/>
      <c r="E325" s="114"/>
      <c r="F325" s="114"/>
      <c r="G325" s="114"/>
      <c r="H325" s="114"/>
      <c r="I325" s="114"/>
      <c r="J325" s="114"/>
      <c r="K325" s="114"/>
    </row>
    <row r="326" spans="1:11" ht="12.75">
      <c r="A326" s="114"/>
      <c r="B326" s="114"/>
      <c r="C326" s="114"/>
      <c r="D326" s="114"/>
      <c r="E326" s="114"/>
      <c r="F326" s="114"/>
      <c r="G326" s="114"/>
      <c r="H326" s="114"/>
      <c r="I326" s="114"/>
      <c r="J326" s="114"/>
      <c r="K326" s="114"/>
    </row>
    <row r="327" spans="1:11" ht="12.75">
      <c r="A327" s="114"/>
      <c r="B327" s="114"/>
      <c r="C327" s="114"/>
      <c r="D327" s="114"/>
      <c r="E327" s="114"/>
      <c r="F327" s="114"/>
      <c r="G327" s="114"/>
      <c r="H327" s="114"/>
      <c r="I327" s="114"/>
      <c r="J327" s="114"/>
      <c r="K327" s="114"/>
    </row>
    <row r="328" spans="1:11" ht="12.75">
      <c r="A328" s="114"/>
      <c r="B328" s="114"/>
      <c r="C328" s="114"/>
      <c r="D328" s="114"/>
      <c r="E328" s="114"/>
      <c r="F328" s="114"/>
      <c r="G328" s="114"/>
      <c r="H328" s="114"/>
      <c r="I328" s="114"/>
      <c r="J328" s="114"/>
      <c r="K328" s="114"/>
    </row>
    <row r="329" spans="1:11" ht="12.75">
      <c r="A329" s="114"/>
      <c r="B329" s="114"/>
      <c r="C329" s="114"/>
      <c r="D329" s="114"/>
      <c r="E329" s="114"/>
      <c r="F329" s="114"/>
      <c r="G329" s="114"/>
      <c r="H329" s="114"/>
      <c r="I329" s="114"/>
      <c r="J329" s="114"/>
      <c r="K329" s="114"/>
    </row>
    <row r="330" spans="1:11" ht="12.75">
      <c r="A330" s="114"/>
      <c r="B330" s="114"/>
      <c r="C330" s="114"/>
      <c r="D330" s="114"/>
      <c r="E330" s="114"/>
      <c r="F330" s="114"/>
      <c r="G330" s="114"/>
      <c r="H330" s="114"/>
      <c r="I330" s="114"/>
      <c r="J330" s="114"/>
      <c r="K330" s="114"/>
    </row>
    <row r="331" spans="1:11" ht="12.75">
      <c r="A331" s="114"/>
      <c r="B331" s="114"/>
      <c r="C331" s="114"/>
      <c r="D331" s="114"/>
      <c r="E331" s="114"/>
      <c r="F331" s="114"/>
      <c r="G331" s="114"/>
      <c r="H331" s="114"/>
      <c r="I331" s="114"/>
      <c r="J331" s="114"/>
      <c r="K331" s="114"/>
    </row>
    <row r="332" spans="1:11" ht="12.75">
      <c r="A332" s="114"/>
      <c r="B332" s="114"/>
      <c r="C332" s="114"/>
      <c r="D332" s="114"/>
      <c r="E332" s="114"/>
      <c r="F332" s="114"/>
      <c r="G332" s="114"/>
      <c r="H332" s="114"/>
      <c r="I332" s="114"/>
      <c r="J332" s="114"/>
      <c r="K332" s="114"/>
    </row>
    <row r="333" spans="1:11" ht="12.75">
      <c r="A333" s="114"/>
      <c r="B333" s="114"/>
      <c r="C333" s="114"/>
      <c r="D333" s="114"/>
      <c r="E333" s="114"/>
      <c r="F333" s="114"/>
      <c r="G333" s="114"/>
      <c r="H333" s="114"/>
      <c r="I333" s="114"/>
      <c r="J333" s="114"/>
      <c r="K333" s="114"/>
    </row>
    <row r="334" spans="1:11" ht="12.75">
      <c r="A334" s="114"/>
      <c r="B334" s="114"/>
      <c r="C334" s="114"/>
      <c r="D334" s="114"/>
      <c r="E334" s="114"/>
      <c r="F334" s="114"/>
      <c r="G334" s="114"/>
      <c r="H334" s="114"/>
      <c r="I334" s="114"/>
      <c r="J334" s="114"/>
      <c r="K334" s="114"/>
    </row>
    <row r="335" spans="1:4" ht="12.75">
      <c r="A335" s="114"/>
      <c r="B335" s="114"/>
      <c r="C335" s="114"/>
      <c r="D335" s="114"/>
    </row>
    <row r="336" spans="1:4" ht="12.75">
      <c r="A336" s="114"/>
      <c r="B336" s="114"/>
      <c r="C336" s="114"/>
      <c r="D336" s="114"/>
    </row>
    <row r="337" spans="1:4" ht="12.75">
      <c r="A337" s="114"/>
      <c r="B337" s="114"/>
      <c r="C337" s="114"/>
      <c r="D337" s="114"/>
    </row>
    <row r="338" spans="1:4" ht="12.75">
      <c r="A338" s="114"/>
      <c r="B338" s="114"/>
      <c r="C338" s="114"/>
      <c r="D338" s="114"/>
    </row>
    <row r="339" spans="1:4" ht="12.75">
      <c r="A339" s="114"/>
      <c r="B339" s="114"/>
      <c r="C339" s="114"/>
      <c r="D339" s="114"/>
    </row>
  </sheetData>
  <sheetProtection password="DCBC" sheet="1"/>
  <printOptions/>
  <pageMargins left="0.75" right="0.75" top="1" bottom="1" header="0.5" footer="0.5"/>
  <pageSetup orientation="portrait" paperSize="9" r:id="rId1"/>
</worksheet>
</file>

<file path=xl/worksheets/sheet13.xml><?xml version="1.0" encoding="utf-8"?>
<worksheet xmlns="http://schemas.openxmlformats.org/spreadsheetml/2006/main" xmlns:r="http://schemas.openxmlformats.org/officeDocument/2006/relationships">
  <sheetPr codeName="Blad7"/>
  <dimension ref="A2:D12"/>
  <sheetViews>
    <sheetView showRowColHeaders="0" workbookViewId="0" topLeftCell="A1">
      <selection activeCell="B62" sqref="B62"/>
    </sheetView>
  </sheetViews>
  <sheetFormatPr defaultColWidth="9.00390625" defaultRowHeight="11.25"/>
  <cols>
    <col min="1" max="2" width="8.00390625" style="268" customWidth="1"/>
    <col min="3" max="3" width="17.00390625" style="268" bestFit="1" customWidth="1"/>
    <col min="4" max="4" width="17.125" style="268" customWidth="1"/>
    <col min="5" max="16384" width="8.00390625" style="268" customWidth="1"/>
  </cols>
  <sheetData>
    <row r="2" spans="1:4" ht="12.75">
      <c r="A2" s="268" t="s">
        <v>198</v>
      </c>
      <c r="C2" s="268" t="s">
        <v>18</v>
      </c>
      <c r="D2" s="271" t="s">
        <v>3</v>
      </c>
    </row>
    <row r="3" spans="1:4" ht="12.75">
      <c r="A3" s="311" t="s">
        <v>185</v>
      </c>
      <c r="B3" s="269" t="s">
        <v>116</v>
      </c>
      <c r="C3" s="268">
        <v>45</v>
      </c>
      <c r="D3" s="272">
        <v>23377</v>
      </c>
    </row>
    <row r="4" spans="1:4" ht="12.75">
      <c r="A4" s="311"/>
      <c r="B4" s="269" t="s">
        <v>117</v>
      </c>
      <c r="C4" s="268">
        <v>49</v>
      </c>
      <c r="D4" s="272">
        <v>22281</v>
      </c>
    </row>
    <row r="5" spans="1:4" ht="12.75">
      <c r="A5" s="311" t="s">
        <v>182</v>
      </c>
      <c r="B5" s="269" t="s">
        <v>116</v>
      </c>
      <c r="C5" s="268">
        <v>50</v>
      </c>
      <c r="D5" s="272">
        <v>21551</v>
      </c>
    </row>
    <row r="6" spans="1:4" ht="12.75">
      <c r="A6" s="311"/>
      <c r="B6" s="269" t="s">
        <v>117</v>
      </c>
      <c r="C6" s="268">
        <v>54</v>
      </c>
      <c r="D6" s="272">
        <v>20454</v>
      </c>
    </row>
    <row r="7" spans="1:4" ht="12.75">
      <c r="A7" s="311" t="s">
        <v>183</v>
      </c>
      <c r="B7" s="269" t="s">
        <v>116</v>
      </c>
      <c r="C7" s="268">
        <v>55</v>
      </c>
      <c r="D7" s="272">
        <v>19725</v>
      </c>
    </row>
    <row r="8" spans="1:4" ht="12.75">
      <c r="A8" s="311"/>
      <c r="B8" s="269" t="s">
        <v>117</v>
      </c>
      <c r="C8" s="268">
        <v>59</v>
      </c>
      <c r="D8" s="272">
        <v>18628</v>
      </c>
    </row>
    <row r="9" spans="1:4" ht="12.75">
      <c r="A9" s="311" t="s">
        <v>184</v>
      </c>
      <c r="B9" s="311" t="s">
        <v>116</v>
      </c>
      <c r="C9" s="312">
        <v>60</v>
      </c>
      <c r="D9" s="313">
        <v>17899</v>
      </c>
    </row>
    <row r="10" spans="1:4" ht="12.75">
      <c r="A10" s="311"/>
      <c r="B10" s="311"/>
      <c r="C10" s="312"/>
      <c r="D10" s="312"/>
    </row>
    <row r="12" ht="12.75">
      <c r="D12" s="270"/>
    </row>
  </sheetData>
  <mergeCells count="7">
    <mergeCell ref="B9:B10"/>
    <mergeCell ref="C9:C10"/>
    <mergeCell ref="D9:D10"/>
    <mergeCell ref="A3:A4"/>
    <mergeCell ref="A5:A6"/>
    <mergeCell ref="A7:A8"/>
    <mergeCell ref="A9:A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Blad2"/>
  <dimension ref="B2:J30"/>
  <sheetViews>
    <sheetView showGridLines="0" showRowColHeaders="0" showZeros="0" showOutlineSymbols="0" workbookViewId="0" topLeftCell="A1">
      <pane ySplit="2" topLeftCell="BM3" activePane="bottomLeft" state="frozen"/>
      <selection pane="topLeft" activeCell="J32" sqref="J32"/>
      <selection pane="bottomLeft" activeCell="D27" sqref="D27"/>
    </sheetView>
  </sheetViews>
  <sheetFormatPr defaultColWidth="9.00390625" defaultRowHeight="11.25"/>
  <cols>
    <col min="1" max="1" width="3.875" style="3" customWidth="1"/>
    <col min="2" max="2" width="33.125" style="3" customWidth="1"/>
    <col min="3" max="3" width="13.375" style="3" customWidth="1"/>
    <col min="4" max="4" width="12.75390625" style="3" customWidth="1"/>
    <col min="5" max="5" width="4.875" style="3" customWidth="1"/>
    <col min="6" max="6" width="9.125" style="3" customWidth="1"/>
    <col min="7" max="7" width="9.00390625" style="3" customWidth="1"/>
    <col min="8" max="8" width="3.875" style="3" customWidth="1"/>
    <col min="9" max="9" width="3.25390625" style="3" customWidth="1"/>
    <col min="10" max="10" width="13.00390625" style="3" customWidth="1"/>
    <col min="11" max="16384" width="9.00390625" style="3" customWidth="1"/>
  </cols>
  <sheetData>
    <row r="1" s="177" customFormat="1" ht="11.25"/>
    <row r="2" s="177" customFormat="1" ht="36.75" customHeight="1">
      <c r="B2" s="178" t="s">
        <v>86</v>
      </c>
    </row>
    <row r="6" ht="11.25"/>
    <row r="7" ht="9.75" customHeight="1"/>
    <row r="8" spans="5:10" ht="10.5" customHeight="1" thickBot="1">
      <c r="E8" s="291"/>
      <c r="F8" s="291"/>
      <c r="G8" s="291"/>
      <c r="H8" s="291"/>
      <c r="I8" s="291"/>
      <c r="J8" s="291"/>
    </row>
    <row r="9" spans="2:7" ht="10.5" customHeight="1">
      <c r="B9" s="3" t="s">
        <v>4</v>
      </c>
      <c r="D9" s="6"/>
      <c r="F9" s="289" t="s">
        <v>238</v>
      </c>
      <c r="G9" s="7" t="s">
        <v>5</v>
      </c>
    </row>
    <row r="10" spans="2:4" ht="10.5" customHeight="1">
      <c r="B10" s="8"/>
      <c r="D10" s="9"/>
    </row>
    <row r="11" ht="10.5" customHeight="1">
      <c r="D11" s="9"/>
    </row>
    <row r="12" spans="2:4" ht="10.5" customHeight="1">
      <c r="B12" s="3" t="s">
        <v>29</v>
      </c>
      <c r="D12" s="9"/>
    </row>
    <row r="13" spans="2:4" ht="10.5" customHeight="1">
      <c r="B13" s="3" t="s">
        <v>30</v>
      </c>
      <c r="D13" s="9"/>
    </row>
    <row r="14" ht="10.5" customHeight="1">
      <c r="D14" s="9"/>
    </row>
    <row r="15" spans="2:4" ht="10.5" customHeight="1">
      <c r="B15" s="3" t="s">
        <v>212</v>
      </c>
      <c r="D15" s="9"/>
    </row>
    <row r="16" spans="2:4" ht="10.5" customHeight="1">
      <c r="B16" s="3" t="s">
        <v>211</v>
      </c>
      <c r="D16" s="9"/>
    </row>
    <row r="17" spans="2:4" ht="10.5" customHeight="1">
      <c r="B17" s="3" t="s">
        <v>213</v>
      </c>
      <c r="D17" s="9"/>
    </row>
    <row r="18" ht="10.5" customHeight="1">
      <c r="D18" s="9"/>
    </row>
    <row r="19" spans="2:7" ht="10.5" customHeight="1">
      <c r="B19" s="3" t="s">
        <v>33</v>
      </c>
      <c r="D19" s="9"/>
      <c r="G19" s="27"/>
    </row>
    <row r="20" spans="2:7" ht="10.5" customHeight="1">
      <c r="B20" s="284" t="s">
        <v>227</v>
      </c>
      <c r="D20" s="9"/>
      <c r="G20" s="27"/>
    </row>
    <row r="21" ht="10.5" customHeight="1">
      <c r="D21" s="9"/>
    </row>
    <row r="22" spans="2:10" ht="10.5" customHeight="1" thickBot="1">
      <c r="B22" s="3" t="s">
        <v>6</v>
      </c>
      <c r="D22" s="9"/>
      <c r="H22" s="152" t="s">
        <v>94</v>
      </c>
      <c r="I22" s="152"/>
      <c r="J22" s="152" t="s">
        <v>95</v>
      </c>
    </row>
    <row r="23" spans="2:10" ht="10.5" customHeight="1">
      <c r="B23" s="3" t="s">
        <v>7</v>
      </c>
      <c r="D23" s="4"/>
      <c r="E23" s="3" t="s">
        <v>8</v>
      </c>
      <c r="F23" s="289" t="s">
        <v>238</v>
      </c>
      <c r="G23" s="152" t="b">
        <f>Rekenblad!B17</f>
        <v>0</v>
      </c>
      <c r="H23" s="152">
        <f>IF(G23=TRUE,33,0)</f>
        <v>0</v>
      </c>
      <c r="I23" s="152"/>
      <c r="J23" s="152">
        <f>IF(G23=TRUE,36,40)</f>
        <v>40</v>
      </c>
    </row>
    <row r="24" spans="2:4" ht="11.25">
      <c r="B24" s="5"/>
      <c r="D24" s="10"/>
    </row>
    <row r="25" ht="11.25">
      <c r="B25" s="11"/>
    </row>
    <row r="26" ht="12" thickBot="1">
      <c r="B26" s="3" t="s">
        <v>97</v>
      </c>
    </row>
    <row r="27" spans="2:10" ht="11.25">
      <c r="B27" s="3" t="s">
        <v>9</v>
      </c>
      <c r="C27" s="12"/>
      <c r="D27" s="13"/>
      <c r="E27" s="14"/>
      <c r="F27" s="289" t="s">
        <v>238</v>
      </c>
      <c r="J27" s="286"/>
    </row>
    <row r="28" ht="11.25"/>
    <row r="29" ht="12" thickBot="1"/>
    <row r="30" spans="2:7" ht="11.25">
      <c r="B30" s="3" t="s">
        <v>232</v>
      </c>
      <c r="D30" s="285"/>
      <c r="F30" s="289" t="s">
        <v>238</v>
      </c>
      <c r="G30" s="290" t="str">
        <f ca="1">CONCATENATE("(Standaard ",YEAR(TODAY())+1,")")</f>
        <v>(Standaard 2011)</v>
      </c>
    </row>
  </sheetData>
  <sheetProtection password="DCBC" sheet="1" objects="1" scenarios="1" selectLockedCells="1"/>
  <mergeCells count="1">
    <mergeCell ref="E8:J8"/>
  </mergeCells>
  <dataValidations count="5">
    <dataValidation type="decimal" allowBlank="1" showInputMessage="1" showErrorMessage="1" errorTitle="Contracturen per week" error="Als u gebruik maakt van de oude 55-plus regeling moet u een dienstverband van minimaal 33 en maximaal 36 uur invullen. Maakt u geen gebruik van de regeling kunt u een dienstverband tussen 0 en 40 uur invullen." sqref="D23">
      <formula1>H23</formula1>
      <formula2>J23</formula2>
    </dataValidation>
    <dataValidation type="custom" operator="greaterThan" allowBlank="1" showInputMessage="1" showErrorMessage="1" errorTitle="Verkeerde waarde" error="Voer een jaartal in groter dan 2009 en kleiner dan het jaar waarin u 65 wordt." sqref="D30">
      <formula1>IF(AND(MONTH(D9)=1,D30-YEAR(D9)=65),AND(D30&gt;2009,D30&lt;YEAR(D9)+65),AND(D30&gt;2009,D30&lt;YEAR(D9)+66))</formula1>
    </dataValidation>
    <dataValidation type="decimal" operator="lessThanOrEqual" allowBlank="1" showInputMessage="1" showErrorMessage="1" promptTitle="TIP" prompt="U vindt uw bruto maandsalaris in de meeste gevallen links bovenaan op uw loonstrook." errorTitle="Maandsalaris" error="U heeft een onlogisch bedrag ingevuld. Mogelijk ben u de komma vergeten of heeft u deze verkeerd geplaatst. Controleer het bedrag aan de hand van uw loonstrook." sqref="D27">
      <formula1>9999.99</formula1>
    </dataValidation>
    <dataValidation type="list" allowBlank="1" showInputMessage="1" showErrorMessage="1" sqref="D25">
      <formula1>"Ja,Nee"</formula1>
    </dataValidation>
    <dataValidation type="whole" allowBlank="1" showInputMessage="1" showErrorMessage="1" sqref="G23">
      <formula1>IF(G23=TRUE,33,0)</formula1>
      <formula2>IF(G23=FALSE,36,40)</formula2>
    </dataValidation>
  </dataValidations>
  <printOptions/>
  <pageMargins left="0.29" right="0.49" top="1" bottom="1" header="0.5" footer="0.5"/>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codeName="Blad9"/>
  <dimension ref="A1:H28"/>
  <sheetViews>
    <sheetView showGridLines="0" showRowColHeaders="0" showZeros="0" showOutlineSymbols="0" workbookViewId="0" topLeftCell="A1">
      <pane ySplit="2" topLeftCell="BM3" activePane="bottomLeft" state="frozen"/>
      <selection pane="topLeft" activeCell="J31" sqref="J31"/>
      <selection pane="bottomLeft" activeCell="J23" sqref="J23:J24"/>
    </sheetView>
  </sheetViews>
  <sheetFormatPr defaultColWidth="9.00390625" defaultRowHeight="11.25"/>
  <cols>
    <col min="1" max="1" width="3.875" style="25" customWidth="1"/>
    <col min="2" max="2" width="35.25390625" style="25" customWidth="1"/>
    <col min="3" max="3" width="11.125" style="25" customWidth="1"/>
    <col min="4" max="4" width="12.75390625" style="25" customWidth="1"/>
    <col min="5" max="5" width="7.375" style="25" bestFit="1" customWidth="1"/>
    <col min="6" max="6" width="5.50390625" style="25" customWidth="1"/>
    <col min="7" max="7" width="6.25390625" style="25" customWidth="1"/>
    <col min="8" max="8" width="3.25390625" style="25" customWidth="1"/>
    <col min="9" max="9" width="13.00390625" style="25" customWidth="1"/>
    <col min="10" max="16384" width="9.00390625" style="25" customWidth="1"/>
  </cols>
  <sheetData>
    <row r="1" s="173" customFormat="1" ht="11.25">
      <c r="A1" s="173" t="s">
        <v>226</v>
      </c>
    </row>
    <row r="2" s="173" customFormat="1" ht="39" customHeight="1">
      <c r="B2" s="174" t="s">
        <v>86</v>
      </c>
    </row>
    <row r="4" ht="11.25">
      <c r="B4" s="160"/>
    </row>
    <row r="6" ht="15" customHeight="1"/>
    <row r="7" ht="15" customHeight="1"/>
    <row r="8" ht="15" customHeight="1"/>
    <row r="9" ht="11.25"/>
    <row r="10" ht="10.5" customHeight="1"/>
    <row r="11" ht="10.5" customHeight="1"/>
    <row r="12" ht="11.25"/>
    <row r="13" ht="11.25"/>
    <row r="14" ht="11.25">
      <c r="B14" s="160" t="s">
        <v>203</v>
      </c>
    </row>
    <row r="15" ht="11.25"/>
    <row r="16" spans="2:7" ht="11.25">
      <c r="B16" s="25" t="s">
        <v>201</v>
      </c>
      <c r="F16" s="26" t="s">
        <v>202</v>
      </c>
      <c r="G16" s="273">
        <f>IF(Rekenblad!B13=0,0,IF(Rekenblad!B67="Basis","de basisregeling",IF(Rekenblad!B67="D","de overgangsregeling D uit de Cao GGZ.",IF(Rekenblad!B67="A","de overgangsregeling A uit de Cao GGZ.",IF(Rekenblad!B67="B","de overgangsregeling B uit de CAO GGZ.","de overgangsregeling C uit de CAO GGZ")))))</f>
        <v>0</v>
      </c>
    </row>
    <row r="18" spans="2:8" ht="11.25">
      <c r="B18" s="263" t="str">
        <f>CONCATENATE("Dat betekent dat u voor ",Rekenblad!B41," een levensfasebudget krijgt toegewezen van")</f>
        <v>Dat betekent dat u voor 2010 een levensfasebudget krijgt toegewezen van</v>
      </c>
      <c r="C18" s="263"/>
      <c r="D18" s="263"/>
      <c r="E18" s="263"/>
      <c r="F18" s="26" t="s">
        <v>202</v>
      </c>
      <c r="G18" s="25">
        <f>IF(Rekenblad!B13=0,0,ROUND(Rekenblad!B82,1))</f>
        <v>0</v>
      </c>
      <c r="H18" s="25">
        <f>IF(G18=0,"","uur*")</f>
      </c>
    </row>
    <row r="19" ht="10.5" customHeight="1"/>
    <row r="20" spans="2:8" ht="10.5" customHeight="1">
      <c r="B20" s="292">
        <f>IF(Rekenblad!C82=0,0,(IF(Rekenblad!B67="D","In de maand waarin u 55 wordt, krijgt u éénmalig extra Levensfasebudget van",IF(Rekenblad!B67="A","Vanaf de maand waarin u 55 jaar wordt, krijgt u jaarlijks een levenfasebudget van",""))))</f>
        <v>0</v>
      </c>
      <c r="C20" s="292"/>
      <c r="D20" s="292"/>
      <c r="E20" s="292"/>
      <c r="F20" s="26">
        <f>IF(G20=0,"",":")</f>
      </c>
      <c r="G20" s="25">
        <f>Rekenblad!C82</f>
        <v>0</v>
      </c>
      <c r="H20" s="25">
        <f>IF(G20=0,"","uur*")</f>
      </c>
    </row>
    <row r="21" ht="10.5" customHeight="1"/>
    <row r="22" ht="10.5" customHeight="1"/>
    <row r="23" ht="10.5" customHeight="1"/>
    <row r="24" ht="10.5" customHeight="1"/>
    <row r="25" ht="10.5" customHeight="1"/>
    <row r="26" ht="10.5" customHeight="1"/>
    <row r="27" ht="10.5" customHeight="1"/>
    <row r="28" ht="18" customHeight="1">
      <c r="D28" s="93"/>
    </row>
    <row r="29" ht="18" customHeight="1"/>
  </sheetData>
  <sheetProtection password="DCBC" sheet="1" objects="1" scenarios="1" selectLockedCells="1" selectUnlockedCells="1"/>
  <mergeCells count="1">
    <mergeCell ref="B20:E20"/>
  </mergeCells>
  <printOptions/>
  <pageMargins left="0.29" right="0.49" top="1" bottom="1" header="0.5" footer="0.5"/>
  <pageSetup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codeName="Blad6"/>
  <dimension ref="A3:O83"/>
  <sheetViews>
    <sheetView showRowColHeaders="0" tabSelected="1" workbookViewId="0" topLeftCell="A1">
      <pane ySplit="4" topLeftCell="BM5" activePane="bottomLeft" state="frozen"/>
      <selection pane="topLeft" activeCell="J32" sqref="J32"/>
      <selection pane="bottomLeft" activeCell="A1" sqref="A1"/>
    </sheetView>
  </sheetViews>
  <sheetFormatPr defaultColWidth="9.00390625" defaultRowHeight="11.25"/>
  <cols>
    <col min="1" max="1" width="1.75390625" style="3" customWidth="1"/>
    <col min="2" max="2" width="23.875" style="3" customWidth="1"/>
    <col min="3" max="3" width="1.12109375" style="3" customWidth="1"/>
    <col min="4" max="4" width="25.625" style="3" customWidth="1"/>
    <col min="5" max="6" width="1.12109375" style="3" customWidth="1"/>
    <col min="7" max="7" width="27.00390625" style="3" customWidth="1"/>
    <col min="8" max="8" width="1.12109375" style="3" customWidth="1"/>
    <col min="9" max="9" width="9.00390625" style="3" customWidth="1"/>
    <col min="10" max="10" width="9.375" style="3" customWidth="1"/>
    <col min="11" max="11" width="9.00390625" style="3" customWidth="1"/>
    <col min="12" max="12" width="7.125" style="3" customWidth="1"/>
    <col min="13" max="16384" width="9.00390625" style="3" customWidth="1"/>
  </cols>
  <sheetData>
    <row r="1" s="175" customFormat="1" ht="10.5"/>
    <row r="2" s="175" customFormat="1" ht="10.5"/>
    <row r="3" spans="2:3" s="175" customFormat="1" ht="18">
      <c r="B3" s="176" t="s">
        <v>86</v>
      </c>
      <c r="C3" s="176"/>
    </row>
    <row r="4" spans="2:9" s="179" customFormat="1" ht="21" customHeight="1">
      <c r="B4" s="180"/>
      <c r="C4" s="180"/>
      <c r="D4" s="181" t="s">
        <v>39</v>
      </c>
      <c r="E4" s="182"/>
      <c r="F4" s="182"/>
      <c r="G4" s="181" t="s">
        <v>88</v>
      </c>
      <c r="H4" s="182"/>
      <c r="I4" s="183"/>
    </row>
    <row r="5" spans="2:8" s="32" customFormat="1" ht="10.5">
      <c r="B5" s="30"/>
      <c r="C5" s="31"/>
      <c r="E5" s="33"/>
      <c r="F5" s="31"/>
      <c r="H5" s="33"/>
    </row>
    <row r="6" spans="2:15" s="32" customFormat="1" ht="210" customHeight="1">
      <c r="B6" s="35" t="s">
        <v>40</v>
      </c>
      <c r="C6" s="31"/>
      <c r="D6" s="293" t="s">
        <v>233</v>
      </c>
      <c r="E6" s="294"/>
      <c r="F6" s="191"/>
      <c r="G6" s="293" t="s">
        <v>151</v>
      </c>
      <c r="H6" s="294"/>
      <c r="J6" s="295" t="s">
        <v>214</v>
      </c>
      <c r="K6" s="295"/>
      <c r="L6" s="295"/>
      <c r="M6" s="295"/>
      <c r="N6" s="295"/>
      <c r="O6" s="295"/>
    </row>
    <row r="7" spans="2:8" s="32" customFormat="1" ht="11.25" customHeight="1">
      <c r="B7" s="40"/>
      <c r="C7" s="31"/>
      <c r="D7" s="41"/>
      <c r="E7" s="36"/>
      <c r="F7" s="37"/>
      <c r="G7" s="38"/>
      <c r="H7" s="39"/>
    </row>
    <row r="8" spans="2:8" s="32" customFormat="1" ht="12.75" customHeight="1">
      <c r="B8" s="42" t="s">
        <v>41</v>
      </c>
      <c r="C8" s="43"/>
      <c r="D8" s="44" t="s">
        <v>42</v>
      </c>
      <c r="E8" s="45"/>
      <c r="F8" s="46"/>
      <c r="G8" s="47" t="s">
        <v>43</v>
      </c>
      <c r="H8" s="45"/>
    </row>
    <row r="9" spans="2:8" s="32" customFormat="1" ht="9" customHeight="1">
      <c r="B9" s="33"/>
      <c r="C9" s="31"/>
      <c r="E9" s="33"/>
      <c r="F9" s="31"/>
      <c r="H9" s="33"/>
    </row>
    <row r="10" spans="2:9" s="32" customFormat="1" ht="12.75" customHeight="1">
      <c r="B10" s="42" t="s">
        <v>44</v>
      </c>
      <c r="C10" s="43"/>
      <c r="D10" s="48" t="s">
        <v>45</v>
      </c>
      <c r="E10" s="49"/>
      <c r="F10" s="50"/>
      <c r="G10" s="48" t="s">
        <v>45</v>
      </c>
      <c r="H10" s="49"/>
      <c r="I10" s="51"/>
    </row>
    <row r="11" spans="2:9" s="32" customFormat="1" ht="9" customHeight="1">
      <c r="B11" s="33"/>
      <c r="C11" s="34"/>
      <c r="E11" s="33"/>
      <c r="F11" s="31"/>
      <c r="H11" s="33"/>
      <c r="I11" s="51"/>
    </row>
    <row r="12" spans="2:8" s="32" customFormat="1" ht="12.75" customHeight="1">
      <c r="B12" s="52" t="s">
        <v>46</v>
      </c>
      <c r="C12" s="53"/>
      <c r="D12" s="54" t="s">
        <v>47</v>
      </c>
      <c r="E12" s="55"/>
      <c r="F12" s="56"/>
      <c r="G12" s="54" t="s">
        <v>47</v>
      </c>
      <c r="H12" s="55"/>
    </row>
    <row r="13" spans="2:8" s="32" customFormat="1" ht="9" customHeight="1">
      <c r="B13" s="33"/>
      <c r="C13" s="34"/>
      <c r="D13" s="57"/>
      <c r="E13" s="35"/>
      <c r="F13" s="58"/>
      <c r="G13" s="57"/>
      <c r="H13" s="35"/>
    </row>
    <row r="14" spans="2:8" s="32" customFormat="1" ht="12.75" customHeight="1">
      <c r="B14" s="33" t="s">
        <v>48</v>
      </c>
      <c r="C14" s="34"/>
      <c r="D14" s="60"/>
      <c r="E14" s="45"/>
      <c r="F14" s="59"/>
      <c r="G14" s="60"/>
      <c r="H14" s="45"/>
    </row>
    <row r="15" spans="2:9" s="32" customFormat="1" ht="12.75" customHeight="1">
      <c r="B15" s="33" t="s">
        <v>49</v>
      </c>
      <c r="C15" s="34"/>
      <c r="D15" s="44" t="s">
        <v>42</v>
      </c>
      <c r="E15" s="45"/>
      <c r="F15" s="59"/>
      <c r="G15" s="47" t="s">
        <v>43</v>
      </c>
      <c r="H15" s="45"/>
      <c r="I15" s="61"/>
    </row>
    <row r="16" spans="2:8" s="32" customFormat="1" ht="9" customHeight="1">
      <c r="B16" s="33"/>
      <c r="C16" s="34"/>
      <c r="D16" s="44"/>
      <c r="E16" s="45"/>
      <c r="F16" s="59"/>
      <c r="G16" s="47"/>
      <c r="H16" s="45"/>
    </row>
    <row r="17" spans="2:9" s="32" customFormat="1" ht="12.75" customHeight="1">
      <c r="B17" s="33" t="s">
        <v>50</v>
      </c>
      <c r="C17" s="34"/>
      <c r="D17" s="44" t="s">
        <v>42</v>
      </c>
      <c r="E17" s="45"/>
      <c r="F17" s="59"/>
      <c r="G17" s="47" t="s">
        <v>43</v>
      </c>
      <c r="H17" s="45"/>
      <c r="I17" s="61"/>
    </row>
    <row r="18" spans="1:9" ht="9" customHeight="1">
      <c r="A18" s="32"/>
      <c r="B18" s="45"/>
      <c r="E18" s="45"/>
      <c r="H18" s="62"/>
      <c r="I18" s="32"/>
    </row>
    <row r="19" spans="1:9" ht="12.75" customHeight="1">
      <c r="A19" s="32"/>
      <c r="B19" s="197" t="s">
        <v>125</v>
      </c>
      <c r="D19" s="239" t="s">
        <v>152</v>
      </c>
      <c r="E19" s="45"/>
      <c r="G19" s="239" t="s">
        <v>152</v>
      </c>
      <c r="H19" s="62"/>
      <c r="I19" s="32"/>
    </row>
    <row r="20" spans="1:9" ht="9" customHeight="1">
      <c r="A20" s="32"/>
      <c r="B20" s="197"/>
      <c r="E20" s="45"/>
      <c r="H20" s="62"/>
      <c r="I20" s="32"/>
    </row>
    <row r="21" spans="1:9" ht="31.5">
      <c r="A21" s="32"/>
      <c r="B21" s="197" t="s">
        <v>126</v>
      </c>
      <c r="D21" s="54" t="s">
        <v>236</v>
      </c>
      <c r="E21" s="45"/>
      <c r="G21" s="54" t="s">
        <v>152</v>
      </c>
      <c r="H21" s="62"/>
      <c r="I21" s="32"/>
    </row>
    <row r="22" spans="1:9" ht="9" customHeight="1">
      <c r="A22" s="32"/>
      <c r="B22" s="197"/>
      <c r="E22" s="45"/>
      <c r="H22" s="62"/>
      <c r="I22" s="32"/>
    </row>
    <row r="23" spans="1:9" ht="21">
      <c r="A23" s="32"/>
      <c r="B23" s="197" t="s">
        <v>53</v>
      </c>
      <c r="D23" s="54" t="s">
        <v>209</v>
      </c>
      <c r="E23" s="45"/>
      <c r="G23" s="54" t="s">
        <v>153</v>
      </c>
      <c r="H23" s="62"/>
      <c r="I23" s="32"/>
    </row>
    <row r="24" spans="1:9" ht="9" customHeight="1">
      <c r="A24" s="32"/>
      <c r="B24" s="197"/>
      <c r="E24" s="45"/>
      <c r="H24" s="62"/>
      <c r="I24" s="32"/>
    </row>
    <row r="25" spans="1:9" ht="12.75" customHeight="1">
      <c r="A25" s="32"/>
      <c r="B25" s="197" t="s">
        <v>54</v>
      </c>
      <c r="D25" s="239" t="s">
        <v>152</v>
      </c>
      <c r="E25" s="45"/>
      <c r="G25" s="239" t="s">
        <v>152</v>
      </c>
      <c r="H25" s="62"/>
      <c r="I25" s="32"/>
    </row>
    <row r="26" spans="1:9" ht="9" customHeight="1">
      <c r="A26" s="32"/>
      <c r="B26" s="197"/>
      <c r="E26" s="45"/>
      <c r="H26" s="62"/>
      <c r="I26" s="32"/>
    </row>
    <row r="27" spans="1:9" ht="12.75" customHeight="1">
      <c r="A27" s="32"/>
      <c r="B27" s="197" t="s">
        <v>96</v>
      </c>
      <c r="D27" s="239" t="s">
        <v>152</v>
      </c>
      <c r="E27" s="45"/>
      <c r="G27" s="239" t="s">
        <v>152</v>
      </c>
      <c r="H27" s="62"/>
      <c r="I27" s="32"/>
    </row>
    <row r="28" spans="1:9" ht="9" customHeight="1">
      <c r="A28" s="32"/>
      <c r="B28" s="197"/>
      <c r="E28" s="45"/>
      <c r="H28" s="62"/>
      <c r="I28" s="32"/>
    </row>
    <row r="29" spans="1:8" s="66" customFormat="1" ht="12.75">
      <c r="A29" s="63" t="s">
        <v>51</v>
      </c>
      <c r="B29" s="64"/>
      <c r="C29" s="65"/>
      <c r="E29" s="64"/>
      <c r="F29" s="67"/>
      <c r="G29" s="65"/>
      <c r="H29" s="64"/>
    </row>
    <row r="30" spans="1:8" ht="11.25">
      <c r="A30" s="32"/>
      <c r="B30" s="33"/>
      <c r="C30" s="34"/>
      <c r="D30" s="32"/>
      <c r="E30" s="33"/>
      <c r="H30" s="62"/>
    </row>
    <row r="31" spans="1:8" ht="277.5" customHeight="1">
      <c r="A31" s="32"/>
      <c r="B31" s="68" t="s">
        <v>52</v>
      </c>
      <c r="C31" s="69"/>
      <c r="D31" s="70" t="s">
        <v>222</v>
      </c>
      <c r="E31" s="71"/>
      <c r="G31" s="72" t="s">
        <v>221</v>
      </c>
      <c r="H31" s="62"/>
    </row>
    <row r="32" spans="1:8" ht="8.25" customHeight="1">
      <c r="A32" s="32"/>
      <c r="B32" s="33"/>
      <c r="C32" s="32"/>
      <c r="D32" s="32"/>
      <c r="E32" s="33"/>
      <c r="H32" s="62"/>
    </row>
    <row r="33" spans="1:8" ht="262.5">
      <c r="A33" s="32"/>
      <c r="B33" s="73" t="s">
        <v>44</v>
      </c>
      <c r="C33" s="32"/>
      <c r="D33" s="58" t="s">
        <v>234</v>
      </c>
      <c r="E33" s="35"/>
      <c r="G33" s="57" t="s">
        <v>223</v>
      </c>
      <c r="H33" s="62"/>
    </row>
    <row r="34" spans="1:8" ht="11.25">
      <c r="A34" s="32"/>
      <c r="B34" s="33"/>
      <c r="C34" s="32"/>
      <c r="D34" s="32"/>
      <c r="E34" s="33"/>
      <c r="H34" s="62"/>
    </row>
    <row r="35" spans="1:8" ht="11.25">
      <c r="A35" s="32"/>
      <c r="B35" s="33"/>
      <c r="C35" s="32"/>
      <c r="D35" s="32"/>
      <c r="E35" s="33"/>
      <c r="H35" s="62"/>
    </row>
    <row r="36" spans="1:8" ht="232.5" customHeight="1">
      <c r="A36" s="32"/>
      <c r="B36" s="73" t="s">
        <v>46</v>
      </c>
      <c r="C36" s="32"/>
      <c r="D36" s="57" t="s">
        <v>237</v>
      </c>
      <c r="E36" s="35"/>
      <c r="G36" s="57" t="s">
        <v>217</v>
      </c>
      <c r="H36" s="62"/>
    </row>
    <row r="37" spans="1:8" ht="11.25">
      <c r="A37" s="32"/>
      <c r="B37" s="33"/>
      <c r="C37" s="32"/>
      <c r="D37" s="32"/>
      <c r="E37" s="33"/>
      <c r="H37" s="62"/>
    </row>
    <row r="38" spans="2:8" ht="11.25">
      <c r="B38" s="62"/>
      <c r="E38" s="62"/>
      <c r="H38" s="62"/>
    </row>
    <row r="39" spans="2:8" ht="11.25">
      <c r="B39" s="62"/>
      <c r="E39" s="62"/>
      <c r="H39" s="62"/>
    </row>
    <row r="40" spans="2:8" ht="94.5">
      <c r="B40" s="220" t="s">
        <v>136</v>
      </c>
      <c r="D40" s="58" t="s">
        <v>225</v>
      </c>
      <c r="E40" s="62"/>
      <c r="G40" s="58" t="s">
        <v>154</v>
      </c>
      <c r="H40" s="62"/>
    </row>
    <row r="41" spans="2:8" ht="11.25">
      <c r="B41" s="62"/>
      <c r="E41" s="62"/>
      <c r="G41" s="58"/>
      <c r="H41" s="62"/>
    </row>
    <row r="42" spans="2:8" ht="99.75" customHeight="1">
      <c r="B42" s="220" t="s">
        <v>50</v>
      </c>
      <c r="D42" s="58" t="s">
        <v>137</v>
      </c>
      <c r="E42" s="62"/>
      <c r="G42" s="58" t="s">
        <v>155</v>
      </c>
      <c r="H42" s="62"/>
    </row>
    <row r="43" spans="2:8" ht="11.25">
      <c r="B43" s="62"/>
      <c r="D43" s="58"/>
      <c r="E43" s="62"/>
      <c r="G43" s="58"/>
      <c r="H43" s="62"/>
    </row>
    <row r="44" spans="2:8" ht="201" customHeight="1">
      <c r="B44" s="220" t="s">
        <v>125</v>
      </c>
      <c r="D44" s="58" t="s">
        <v>230</v>
      </c>
      <c r="E44" s="62"/>
      <c r="G44" s="58" t="s">
        <v>156</v>
      </c>
      <c r="H44" s="62"/>
    </row>
    <row r="45" spans="2:8" ht="11.25">
      <c r="B45" s="197"/>
      <c r="D45" s="58"/>
      <c r="E45" s="62"/>
      <c r="G45" s="58"/>
      <c r="H45" s="62"/>
    </row>
    <row r="46" spans="2:8" ht="210">
      <c r="B46" s="220" t="s">
        <v>126</v>
      </c>
      <c r="D46" s="58" t="s">
        <v>162</v>
      </c>
      <c r="E46" s="62"/>
      <c r="G46" s="58" t="s">
        <v>158</v>
      </c>
      <c r="H46" s="62"/>
    </row>
    <row r="47" spans="2:8" ht="11.25">
      <c r="B47" s="197"/>
      <c r="D47" s="58"/>
      <c r="E47" s="62"/>
      <c r="G47" s="58"/>
      <c r="H47" s="62"/>
    </row>
    <row r="48" spans="2:8" ht="105">
      <c r="B48" s="220" t="s">
        <v>53</v>
      </c>
      <c r="D48" s="58" t="s">
        <v>224</v>
      </c>
      <c r="E48" s="62"/>
      <c r="G48" s="58" t="s">
        <v>161</v>
      </c>
      <c r="H48" s="62"/>
    </row>
    <row r="49" spans="2:8" ht="11.25">
      <c r="B49" s="197"/>
      <c r="D49" s="58"/>
      <c r="E49" s="62"/>
      <c r="G49" s="58"/>
      <c r="H49" s="62"/>
    </row>
    <row r="50" spans="2:8" ht="189" customHeight="1">
      <c r="B50" s="220" t="s">
        <v>54</v>
      </c>
      <c r="D50" s="58" t="s">
        <v>231</v>
      </c>
      <c r="E50" s="62"/>
      <c r="G50" s="58" t="s">
        <v>157</v>
      </c>
      <c r="H50" s="62"/>
    </row>
    <row r="51" spans="2:8" ht="11.25">
      <c r="B51" s="197"/>
      <c r="D51" s="58"/>
      <c r="E51" s="62"/>
      <c r="G51" s="58"/>
      <c r="H51" s="62"/>
    </row>
    <row r="52" spans="2:8" ht="84">
      <c r="B52" s="220" t="s">
        <v>96</v>
      </c>
      <c r="D52" s="58" t="s">
        <v>159</v>
      </c>
      <c r="E52" s="62"/>
      <c r="G52" s="58" t="s">
        <v>160</v>
      </c>
      <c r="H52" s="62"/>
    </row>
    <row r="53" spans="2:8" ht="11.25">
      <c r="B53" s="197"/>
      <c r="D53" s="58"/>
      <c r="E53" s="62"/>
      <c r="G53" s="58"/>
      <c r="H53" s="62"/>
    </row>
    <row r="54" spans="2:8" ht="11.25">
      <c r="B54" s="197"/>
      <c r="D54" s="58"/>
      <c r="E54" s="62"/>
      <c r="G54" s="58"/>
      <c r="H54" s="62"/>
    </row>
    <row r="55" spans="2:8" ht="11.25">
      <c r="B55" s="197"/>
      <c r="D55" s="58"/>
      <c r="E55" s="62"/>
      <c r="G55" s="58"/>
      <c r="H55" s="62"/>
    </row>
    <row r="56" spans="2:8" ht="11.25">
      <c r="B56" s="197"/>
      <c r="D56" s="58"/>
      <c r="E56" s="62"/>
      <c r="G56" s="58"/>
      <c r="H56" s="62"/>
    </row>
    <row r="57" spans="2:8" ht="11.25">
      <c r="B57" s="197"/>
      <c r="D57" s="58"/>
      <c r="E57" s="62"/>
      <c r="G57" s="58"/>
      <c r="H57" s="62"/>
    </row>
    <row r="58" spans="2:8" ht="11.25">
      <c r="B58" s="197"/>
      <c r="D58" s="58"/>
      <c r="E58" s="62"/>
      <c r="G58" s="58"/>
      <c r="H58" s="62"/>
    </row>
    <row r="59" spans="2:8" ht="11.25">
      <c r="B59" s="197"/>
      <c r="D59" s="58"/>
      <c r="E59" s="62"/>
      <c r="G59" s="58"/>
      <c r="H59" s="62"/>
    </row>
    <row r="60" spans="2:8" ht="11.25">
      <c r="B60" s="197"/>
      <c r="D60" s="58"/>
      <c r="E60" s="62"/>
      <c r="G60" s="58"/>
      <c r="H60" s="62"/>
    </row>
    <row r="61" spans="2:8" ht="11.25">
      <c r="B61" s="197"/>
      <c r="D61" s="58"/>
      <c r="E61" s="62"/>
      <c r="G61" s="58"/>
      <c r="H61" s="62"/>
    </row>
    <row r="62" spans="2:8" ht="11.25">
      <c r="B62" s="197"/>
      <c r="D62" s="58"/>
      <c r="E62" s="62"/>
      <c r="G62" s="58"/>
      <c r="H62" s="62"/>
    </row>
    <row r="63" spans="2:8" ht="11.25">
      <c r="B63" s="197"/>
      <c r="D63" s="58"/>
      <c r="E63" s="62"/>
      <c r="H63" s="62"/>
    </row>
    <row r="64" spans="2:8" ht="11.25">
      <c r="B64" s="197"/>
      <c r="D64" s="58"/>
      <c r="E64" s="62"/>
      <c r="H64" s="62"/>
    </row>
    <row r="65" spans="2:8" ht="11.25">
      <c r="B65" s="197"/>
      <c r="D65" s="58"/>
      <c r="E65" s="62"/>
      <c r="H65" s="62"/>
    </row>
    <row r="66" spans="2:8" ht="11.25">
      <c r="B66" s="197"/>
      <c r="D66" s="58"/>
      <c r="E66" s="62"/>
      <c r="H66" s="62"/>
    </row>
    <row r="67" spans="2:8" ht="11.25">
      <c r="B67" s="197"/>
      <c r="D67" s="58"/>
      <c r="E67" s="62"/>
      <c r="H67" s="62"/>
    </row>
    <row r="68" spans="2:8" ht="11.25">
      <c r="B68" s="197"/>
      <c r="D68" s="58"/>
      <c r="E68" s="62"/>
      <c r="H68" s="62"/>
    </row>
    <row r="69" spans="2:8" ht="11.25">
      <c r="B69" s="197"/>
      <c r="D69" s="58"/>
      <c r="E69" s="62"/>
      <c r="H69" s="62"/>
    </row>
    <row r="70" spans="2:8" ht="11.25">
      <c r="B70" s="197"/>
      <c r="E70" s="62"/>
      <c r="H70" s="62"/>
    </row>
    <row r="71" spans="2:8" ht="11.25">
      <c r="B71" s="197"/>
      <c r="E71" s="62"/>
      <c r="H71" s="62"/>
    </row>
    <row r="72" spans="2:8" ht="11.25">
      <c r="B72" s="197"/>
      <c r="E72" s="62"/>
      <c r="H72" s="62"/>
    </row>
    <row r="73" spans="2:8" ht="11.25">
      <c r="B73" s="197"/>
      <c r="E73" s="62"/>
      <c r="H73" s="62"/>
    </row>
    <row r="74" spans="2:8" ht="11.25">
      <c r="B74" s="197"/>
      <c r="E74" s="62"/>
      <c r="H74" s="62"/>
    </row>
    <row r="75" spans="2:8" ht="11.25">
      <c r="B75" s="197"/>
      <c r="E75" s="62"/>
      <c r="H75" s="62"/>
    </row>
    <row r="76" spans="2:8" ht="11.25">
      <c r="B76" s="197"/>
      <c r="E76" s="62"/>
      <c r="H76" s="62"/>
    </row>
    <row r="77" spans="2:8" ht="11.25">
      <c r="B77" s="197"/>
      <c r="E77" s="62"/>
      <c r="H77" s="62"/>
    </row>
    <row r="78" spans="2:8" ht="11.25">
      <c r="B78" s="197"/>
      <c r="E78" s="62"/>
      <c r="H78" s="62"/>
    </row>
    <row r="79" spans="2:8" ht="11.25">
      <c r="B79" s="197"/>
      <c r="E79" s="62"/>
      <c r="H79" s="62"/>
    </row>
    <row r="80" spans="2:8" ht="11.25">
      <c r="B80" s="197"/>
      <c r="E80" s="62"/>
      <c r="H80" s="62"/>
    </row>
    <row r="81" spans="2:8" ht="11.25">
      <c r="B81" s="197"/>
      <c r="E81" s="62"/>
      <c r="H81" s="62"/>
    </row>
    <row r="82" spans="2:8" ht="11.25">
      <c r="B82" s="197"/>
      <c r="E82" s="62"/>
      <c r="H82" s="62"/>
    </row>
    <row r="83" spans="2:8" ht="11.25">
      <c r="B83" s="197"/>
      <c r="E83" s="62"/>
      <c r="H83" s="62"/>
    </row>
  </sheetData>
  <sheetProtection password="DCBC" sheet="1" objects="1" scenarios="1"/>
  <mergeCells count="3">
    <mergeCell ref="D6:E6"/>
    <mergeCell ref="G6:H6"/>
    <mergeCell ref="J6:O6"/>
  </mergeCells>
  <printOptions/>
  <pageMargins left="0.29" right="0.29" top="0.65" bottom="0.34" header="0.5" footer="0.21"/>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codeName="Blad4"/>
  <dimension ref="A2:I40"/>
  <sheetViews>
    <sheetView showRowColHeaders="0" workbookViewId="0" topLeftCell="A1">
      <pane ySplit="2" topLeftCell="BM3" activePane="bottomLeft" state="frozen"/>
      <selection pane="topLeft" activeCell="J32" sqref="J32"/>
      <selection pane="bottomLeft" activeCell="D19" sqref="D19"/>
    </sheetView>
  </sheetViews>
  <sheetFormatPr defaultColWidth="9.00390625" defaultRowHeight="11.25"/>
  <cols>
    <col min="1" max="1" width="9.00390625" style="3" customWidth="1"/>
    <col min="2" max="2" width="36.75390625" style="3" customWidth="1"/>
    <col min="3" max="3" width="5.50390625" style="3" customWidth="1"/>
    <col min="4" max="4" width="17.125" style="3" customWidth="1"/>
    <col min="5" max="5" width="5.50390625" style="3" customWidth="1"/>
    <col min="6" max="6" width="7.75390625" style="3" customWidth="1"/>
    <col min="7" max="7" width="17.125" style="3" customWidth="1"/>
    <col min="8" max="16384" width="9.00390625" style="3" customWidth="1"/>
  </cols>
  <sheetData>
    <row r="1" s="173" customFormat="1" ht="11.25"/>
    <row r="2" s="173" customFormat="1" ht="30.75" customHeight="1">
      <c r="B2" s="174" t="s">
        <v>86</v>
      </c>
    </row>
    <row r="3" s="126" customFormat="1" ht="9" customHeight="1"/>
    <row r="4" spans="3:5" s="126" customFormat="1" ht="11.25">
      <c r="C4" s="25"/>
      <c r="D4" s="25"/>
      <c r="E4" s="25"/>
    </row>
    <row r="5" spans="2:5" s="126" customFormat="1" ht="11.25">
      <c r="B5" s="198"/>
      <c r="C5" s="154"/>
      <c r="D5" s="154"/>
      <c r="E5" s="158"/>
    </row>
    <row r="6" spans="2:5" s="126" customFormat="1" ht="15" customHeight="1">
      <c r="B6" s="244" t="str">
        <f>CONCATENATE("Uw levensfasebudget bedraagt in ",Rekenblad!B41," :")</f>
        <v>Uw levensfasebudget bedraagt in 2010 :</v>
      </c>
      <c r="C6" s="245">
        <f>IF(Rekenblad!B82="",0,ROUND(Rekenblad!B82,1))</f>
        <v>10</v>
      </c>
      <c r="D6" s="245" t="s">
        <v>8</v>
      </c>
      <c r="E6" s="246"/>
    </row>
    <row r="7" spans="2:5" ht="15" customHeight="1">
      <c r="B7" s="155"/>
      <c r="C7" s="156"/>
      <c r="D7" s="157"/>
      <c r="E7" s="159"/>
    </row>
    <row r="8" spans="2:5" ht="11.25">
      <c r="B8" s="25"/>
      <c r="C8" s="25"/>
      <c r="D8" s="93"/>
      <c r="E8" s="25"/>
    </row>
    <row r="9" spans="2:5" ht="11.25">
      <c r="B9" s="25"/>
      <c r="C9" s="25"/>
      <c r="D9" s="93"/>
      <c r="E9" s="25"/>
    </row>
    <row r="10" spans="2:5" ht="11.25">
      <c r="B10" s="25"/>
      <c r="C10" s="25"/>
      <c r="D10" s="93"/>
      <c r="E10" s="25"/>
    </row>
    <row r="11" spans="2:5" ht="11.25">
      <c r="B11" s="25"/>
      <c r="C11" s="25"/>
      <c r="D11" s="93"/>
      <c r="E11" s="25"/>
    </row>
    <row r="12" spans="2:5" ht="6" customHeight="1">
      <c r="B12" s="25"/>
      <c r="C12" s="25"/>
      <c r="D12" s="93"/>
      <c r="E12" s="25"/>
    </row>
    <row r="13" spans="2:5" ht="11.25">
      <c r="B13" s="160" t="s">
        <v>84</v>
      </c>
      <c r="C13" s="25"/>
      <c r="D13" s="93"/>
      <c r="E13" s="25"/>
    </row>
    <row r="14" ht="5.25" customHeight="1"/>
    <row r="15" spans="2:5" ht="11.25" hidden="1">
      <c r="B15" s="152" t="s">
        <v>82</v>
      </c>
      <c r="C15" s="152"/>
      <c r="D15" s="221"/>
      <c r="E15" s="152" t="s">
        <v>57</v>
      </c>
    </row>
    <row r="16" ht="5.25" customHeight="1" thickBot="1"/>
    <row r="17" spans="2:7" ht="11.25">
      <c r="B17" s="3" t="s">
        <v>239</v>
      </c>
      <c r="D17" s="121"/>
      <c r="E17" s="3" t="s">
        <v>35</v>
      </c>
      <c r="F17" s="289" t="s">
        <v>238</v>
      </c>
      <c r="G17" s="152">
        <f>Rekenblad!B34+1</f>
        <v>1</v>
      </c>
    </row>
    <row r="18" ht="6.75" customHeight="1" thickBot="1"/>
    <row r="19" spans="2:7" ht="11.25">
      <c r="B19" s="3" t="s">
        <v>138</v>
      </c>
      <c r="D19" s="121"/>
      <c r="E19" s="83" t="s">
        <v>57</v>
      </c>
      <c r="F19" s="289" t="s">
        <v>238</v>
      </c>
      <c r="G19" s="3">
        <f>IF(-Rekenblad!B34+'Mijn spaartegoed'!D19&gt;5,"let op: uw tegoed wordt alleen over de eerst vijf jaar geindexeerd met de loonontwikkeling","")</f>
      </c>
    </row>
    <row r="20" ht="11.25">
      <c r="B20" s="3" t="s">
        <v>235</v>
      </c>
    </row>
    <row r="21" ht="6.75" customHeight="1" thickBot="1"/>
    <row r="22" spans="2:7" ht="11.25">
      <c r="B22" s="3" t="s">
        <v>240</v>
      </c>
      <c r="D22" s="28"/>
      <c r="E22" s="3" t="s">
        <v>35</v>
      </c>
      <c r="F22" s="289" t="s">
        <v>238</v>
      </c>
      <c r="G22" s="7" t="s">
        <v>200</v>
      </c>
    </row>
    <row r="23" spans="2:8" ht="12" thickBot="1">
      <c r="B23" s="166"/>
      <c r="C23" s="166"/>
      <c r="D23" s="166"/>
      <c r="E23" s="166"/>
      <c r="F23" s="166"/>
      <c r="G23" s="166"/>
      <c r="H23" s="166"/>
    </row>
    <row r="24" spans="1:8" ht="6" customHeight="1">
      <c r="A24" s="164"/>
      <c r="B24" s="127"/>
      <c r="C24" s="127"/>
      <c r="D24" s="127"/>
      <c r="E24" s="127"/>
      <c r="F24" s="127"/>
      <c r="G24" s="127"/>
      <c r="H24" s="161"/>
    </row>
    <row r="25" spans="1:8" ht="11.25">
      <c r="A25" s="164"/>
      <c r="B25" s="167">
        <f>IF(D19="","",CONCATENATE("Eind ",maatman!D4," heeft u gespaard:"))</f>
      </c>
      <c r="C25" s="168"/>
      <c r="D25" s="298" t="s">
        <v>121</v>
      </c>
      <c r="E25" s="298"/>
      <c r="F25" s="169"/>
      <c r="G25" s="299" t="s">
        <v>123</v>
      </c>
      <c r="H25" s="300"/>
    </row>
    <row r="26" spans="1:8" ht="11.25">
      <c r="A26" s="164"/>
      <c r="B26" s="168"/>
      <c r="C26" s="168"/>
      <c r="D26" s="301" t="s">
        <v>122</v>
      </c>
      <c r="E26" s="302"/>
      <c r="F26" s="168"/>
      <c r="G26" s="301" t="s">
        <v>124</v>
      </c>
      <c r="H26" s="303"/>
    </row>
    <row r="27" spans="1:8" s="122" customFormat="1" ht="15" customHeight="1">
      <c r="A27" s="165"/>
      <c r="B27" s="168"/>
      <c r="C27" s="168"/>
      <c r="D27" s="171">
        <f>IF(maatman!D13=0,0,IF(maatman!D4=0,0,VLOOKUP(maatman!D4,maatman!A21:AD73,28,FALSE)))</f>
        <v>0</v>
      </c>
      <c r="E27" s="168" t="s">
        <v>83</v>
      </c>
      <c r="F27" s="168"/>
      <c r="G27" s="171">
        <f>IF(maatman!D13=0,0,VLOOKUP(maatman!D4,maatman!A21:AD73,19,FALSE))</f>
        <v>0</v>
      </c>
      <c r="H27" s="170" t="s">
        <v>83</v>
      </c>
    </row>
    <row r="28" spans="1:8" s="122" customFormat="1" ht="7.5" customHeight="1">
      <c r="A28" s="165"/>
      <c r="B28" s="168"/>
      <c r="C28" s="168"/>
      <c r="D28" s="230"/>
      <c r="E28" s="168"/>
      <c r="F28" s="168"/>
      <c r="G28" s="171"/>
      <c r="H28" s="170"/>
    </row>
    <row r="29" spans="1:8" s="122" customFormat="1" ht="15" customHeight="1">
      <c r="A29" s="165"/>
      <c r="B29" s="168"/>
      <c r="C29" s="277" t="s">
        <v>145</v>
      </c>
      <c r="D29" s="266">
        <f>IF(maatman!D13=0,0,IF(maatman!D4=0,0,VLOOKUP(maatman!D4,maatman!A21:AY75,29,FALSE)))</f>
        <v>0</v>
      </c>
      <c r="E29" s="168" t="s">
        <v>8</v>
      </c>
      <c r="F29" s="277" t="s">
        <v>145</v>
      </c>
      <c r="G29" s="266">
        <f>IF(maatman!D13=0,0,VLOOKUP(maatman!D4,maatman!A21:AY75,20,FALSE))</f>
        <v>0</v>
      </c>
      <c r="H29" s="170" t="s">
        <v>8</v>
      </c>
    </row>
    <row r="30" spans="1:8" ht="3.75" customHeight="1">
      <c r="A30" s="164"/>
      <c r="B30" s="162"/>
      <c r="C30" s="162"/>
      <c r="D30" s="162"/>
      <c r="E30" s="162"/>
      <c r="F30" s="162"/>
      <c r="G30" s="162"/>
      <c r="H30" s="163"/>
    </row>
    <row r="31" ht="15" customHeight="1"/>
    <row r="32" spans="2:9" ht="21" customHeight="1">
      <c r="B32" s="297" t="s">
        <v>147</v>
      </c>
      <c r="C32" s="297"/>
      <c r="D32" s="297"/>
      <c r="E32" s="297"/>
      <c r="F32" s="297"/>
      <c r="G32" s="297"/>
      <c r="H32" s="297"/>
      <c r="I32" s="297"/>
    </row>
    <row r="33" spans="2:8" ht="7.5" customHeight="1" thickBot="1">
      <c r="B33" s="237"/>
      <c r="C33" s="237"/>
      <c r="D33" s="237"/>
      <c r="E33" s="237"/>
      <c r="F33" s="237"/>
      <c r="G33" s="237"/>
      <c r="H33" s="237"/>
    </row>
    <row r="34" spans="2:7" ht="11.25">
      <c r="B34" s="3" t="s">
        <v>210</v>
      </c>
      <c r="E34" s="121"/>
      <c r="F34" s="3" t="s">
        <v>35</v>
      </c>
      <c r="G34" s="289" t="s">
        <v>238</v>
      </c>
    </row>
    <row r="35" ht="9.75" customHeight="1">
      <c r="E35" s="281"/>
    </row>
    <row r="36" ht="11.25">
      <c r="B36" s="3">
        <f>IF(E34="","",CONCATENATE("U kunt dan ",ROUND(VLOOKUP(maatman!D4,maatman!A21:AE80,31,FALSE),1)," verlofuren opnemen tegen ",E34,"% van uw salaris."))</f>
      </c>
    </row>
    <row r="37" spans="2:9" ht="26.25" customHeight="1" hidden="1">
      <c r="B37" s="296" t="s">
        <v>150</v>
      </c>
      <c r="C37" s="296"/>
      <c r="D37" s="296"/>
      <c r="E37" s="296"/>
      <c r="F37" s="296"/>
      <c r="G37" s="296"/>
      <c r="H37" s="296"/>
      <c r="I37" s="296"/>
    </row>
    <row r="38" ht="7.5" customHeight="1" hidden="1"/>
    <row r="39" ht="7.5" customHeight="1"/>
    <row r="40" spans="2:9" ht="21.75" customHeight="1">
      <c r="B40" s="296" t="s">
        <v>120</v>
      </c>
      <c r="C40" s="296"/>
      <c r="D40" s="296"/>
      <c r="E40" s="296"/>
      <c r="F40" s="296"/>
      <c r="G40" s="296"/>
      <c r="H40" s="296"/>
      <c r="I40" s="296"/>
    </row>
  </sheetData>
  <sheetProtection password="DCBC" sheet="1" objects="1" scenarios="1" selectLockedCells="1"/>
  <mergeCells count="7">
    <mergeCell ref="B37:I37"/>
    <mergeCell ref="B40:I40"/>
    <mergeCell ref="B32:I32"/>
    <mergeCell ref="D25:E25"/>
    <mergeCell ref="G25:H25"/>
    <mergeCell ref="D26:E26"/>
    <mergeCell ref="G26:H26"/>
  </mergeCells>
  <dataValidations count="4">
    <dataValidation type="whole" allowBlank="1" showInputMessage="1" showErrorMessage="1" errorTitle="FOUT" error="Vul een leeftijd in tussen uw huidige leeftijd en 65 jaar." sqref="D19">
      <formula1>G17</formula1>
      <formula2>65</formula2>
    </dataValidation>
    <dataValidation type="whole" allowBlank="1" showInputMessage="1" showErrorMessage="1" errorTitle="FOUT" error="Vul een leeftijd tussen 15 en 65 jaar." sqref="D15">
      <formula1>15</formula1>
      <formula2>64</formula2>
    </dataValidation>
    <dataValidation type="whole" allowBlank="1" showInputMessage="1" showErrorMessage="1" errorTitle="FOUT" error="Kies een getal tussen 0 en 100." sqref="D17">
      <formula1>0</formula1>
      <formula2>100</formula2>
    </dataValidation>
    <dataValidation errorStyle="information" type="whole" operator="greaterThan" allowBlank="1" showInputMessage="1" showErrorMessage="1" errorTitle="Let op!" error="Bij een inkomen uit levensloop van minder dan 70% heeft u geen recht op de werkgeversbijdrage in de pensioenpremie." sqref="E34">
      <formula1>69</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Blad10"/>
  <dimension ref="B3:D29"/>
  <sheetViews>
    <sheetView showRowColHeaders="0" workbookViewId="0" topLeftCell="A1">
      <pane ySplit="1" topLeftCell="BM2" activePane="bottomLeft" state="frozen"/>
      <selection pane="topLeft" activeCell="J32" sqref="J32"/>
      <selection pane="bottomLeft" activeCell="B7" sqref="B7"/>
    </sheetView>
  </sheetViews>
  <sheetFormatPr defaultColWidth="9.00390625" defaultRowHeight="11.25"/>
  <cols>
    <col min="1" max="1" width="2.625" style="184" customWidth="1"/>
    <col min="2" max="2" width="36.75390625" style="185" customWidth="1"/>
    <col min="3" max="3" width="2.875" style="185" customWidth="1"/>
    <col min="4" max="4" width="66.125" style="184" customWidth="1"/>
    <col min="5" max="16384" width="9.00390625" style="184" customWidth="1"/>
  </cols>
  <sheetData>
    <row r="1" ht="60.75" customHeight="1"/>
    <row r="2" ht="18.75" customHeight="1"/>
    <row r="3" spans="2:4" ht="67.5">
      <c r="B3" s="185" t="s">
        <v>85</v>
      </c>
      <c r="D3" s="184" t="s">
        <v>163</v>
      </c>
    </row>
    <row r="4" ht="19.5" customHeight="1"/>
    <row r="5" spans="2:4" ht="56.25">
      <c r="B5" s="185" t="s">
        <v>98</v>
      </c>
      <c r="D5" s="184" t="s">
        <v>164</v>
      </c>
    </row>
    <row r="6" ht="19.5" customHeight="1"/>
    <row r="7" spans="2:4" ht="67.5">
      <c r="B7" s="185" t="s">
        <v>215</v>
      </c>
      <c r="D7" s="184" t="s">
        <v>241</v>
      </c>
    </row>
    <row r="8" ht="19.5" customHeight="1"/>
    <row r="9" spans="2:4" ht="33.75">
      <c r="B9" s="185" t="s">
        <v>190</v>
      </c>
      <c r="D9" s="184" t="s">
        <v>191</v>
      </c>
    </row>
    <row r="10" ht="11.25">
      <c r="B10" s="184"/>
    </row>
    <row r="11" spans="2:4" ht="22.5">
      <c r="B11" s="185" t="s">
        <v>228</v>
      </c>
      <c r="D11" s="184" t="s">
        <v>229</v>
      </c>
    </row>
    <row r="13" spans="2:4" ht="67.5">
      <c r="B13" s="185" t="s">
        <v>106</v>
      </c>
      <c r="D13" s="184" t="s">
        <v>189</v>
      </c>
    </row>
    <row r="15" ht="11.25">
      <c r="D15" s="184" t="s">
        <v>100</v>
      </c>
    </row>
    <row r="16" ht="12.75">
      <c r="D16" s="184" t="s">
        <v>101</v>
      </c>
    </row>
    <row r="17" ht="12.75">
      <c r="D17" s="184" t="s">
        <v>102</v>
      </c>
    </row>
    <row r="18" ht="12.75">
      <c r="D18" s="184" t="s">
        <v>103</v>
      </c>
    </row>
    <row r="19" ht="12.75">
      <c r="D19" s="184" t="s">
        <v>104</v>
      </c>
    </row>
    <row r="20" ht="19.5" customHeight="1">
      <c r="D20" s="184" t="s">
        <v>105</v>
      </c>
    </row>
    <row r="21" spans="2:4" ht="45">
      <c r="B21" s="185" t="s">
        <v>99</v>
      </c>
      <c r="D21" s="184" t="s">
        <v>204</v>
      </c>
    </row>
    <row r="23" ht="11.25">
      <c r="D23" s="184" t="s">
        <v>216</v>
      </c>
    </row>
    <row r="24" ht="11.25">
      <c r="D24" s="274" t="s">
        <v>205</v>
      </c>
    </row>
    <row r="25" ht="11.25">
      <c r="D25" s="274" t="s">
        <v>218</v>
      </c>
    </row>
    <row r="26" ht="19.5" customHeight="1">
      <c r="D26" s="274" t="s">
        <v>219</v>
      </c>
    </row>
    <row r="27" spans="2:4" ht="33.75">
      <c r="B27" s="185" t="s">
        <v>109</v>
      </c>
      <c r="D27" s="184" t="s">
        <v>110</v>
      </c>
    </row>
    <row r="28" ht="19.5" customHeight="1"/>
    <row r="29" spans="2:4" ht="33.75">
      <c r="B29" s="185" t="s">
        <v>107</v>
      </c>
      <c r="D29" s="184" t="s">
        <v>108</v>
      </c>
    </row>
  </sheetData>
  <sheetProtection password="DCBC" sheet="1" objects="1" scenarios="1"/>
  <hyperlinks>
    <hyperlink ref="D26" r:id="rId1" display="www.reaal.nl"/>
    <hyperlink ref="D24" r:id="rId2" display="www.pggm.nl"/>
    <hyperlink ref="D25" r:id="rId3" display="www.rabobank.nl"/>
  </hyperlinks>
  <printOptions/>
  <pageMargins left="0.75" right="0.75" top="1" bottom="1" header="0.5" footer="0.5"/>
  <pageSetup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sheetPr codeName="Blad1"/>
  <dimension ref="A1:H146"/>
  <sheetViews>
    <sheetView workbookViewId="0" topLeftCell="A42">
      <selection activeCell="B80" sqref="B80"/>
    </sheetView>
  </sheetViews>
  <sheetFormatPr defaultColWidth="9.00390625" defaultRowHeight="11.25"/>
  <cols>
    <col min="1" max="1" width="28.125" style="0" customWidth="1"/>
    <col min="2" max="2" width="12.625" style="0" customWidth="1"/>
    <col min="3" max="3" width="16.75390625" style="0" customWidth="1"/>
    <col min="4" max="4" width="18.25390625" style="0" bestFit="1" customWidth="1"/>
    <col min="5" max="5" width="10.375" style="0" bestFit="1" customWidth="1"/>
    <col min="6" max="6" width="13.875" style="0" customWidth="1"/>
    <col min="7" max="7" width="12.25390625" style="0" bestFit="1" customWidth="1"/>
    <col min="8" max="8" width="13.375" style="0" bestFit="1" customWidth="1"/>
  </cols>
  <sheetData>
    <row r="1" spans="1:5" ht="15.75">
      <c r="A1" s="15" t="s">
        <v>20</v>
      </c>
      <c r="B1" s="15"/>
      <c r="C1" s="21"/>
      <c r="D1" s="15"/>
      <c r="E1" s="15"/>
    </row>
    <row r="2" spans="1:4" ht="11.25">
      <c r="A2" t="s">
        <v>207</v>
      </c>
      <c r="B2" s="16">
        <f>IF('Mijn gegevens'!D30="","",'Mijn gegevens'!D30)</f>
      </c>
      <c r="D2" s="2" t="s">
        <v>2</v>
      </c>
    </row>
    <row r="3" spans="1:2" ht="11.25">
      <c r="A3" t="s">
        <v>26</v>
      </c>
      <c r="B3" s="19">
        <f ca="1">TODAY()</f>
        <v>40191</v>
      </c>
    </row>
    <row r="4" spans="1:4" ht="11.25">
      <c r="A4" t="s">
        <v>27</v>
      </c>
      <c r="B4" s="16">
        <f>IF(B2="",B41,B2)</f>
        <v>2010</v>
      </c>
      <c r="D4" s="2" t="s">
        <v>28</v>
      </c>
    </row>
    <row r="5" ht="12" customHeight="1">
      <c r="B5" s="19"/>
    </row>
    <row r="6" spans="1:3" ht="11.25">
      <c r="A6" t="s">
        <v>21</v>
      </c>
      <c r="B6">
        <v>36</v>
      </c>
      <c r="C6" t="s">
        <v>8</v>
      </c>
    </row>
    <row r="8" spans="1:3" ht="11.25">
      <c r="A8" t="s">
        <v>0</v>
      </c>
      <c r="B8">
        <v>166</v>
      </c>
      <c r="C8" t="s">
        <v>8</v>
      </c>
    </row>
    <row r="9" ht="11.25">
      <c r="D9" s="16"/>
    </row>
    <row r="10" ht="11.25">
      <c r="A10" s="24"/>
    </row>
    <row r="11" ht="11.25">
      <c r="A11" s="24"/>
    </row>
    <row r="12" spans="1:5" ht="15.75">
      <c r="A12" s="15" t="s">
        <v>36</v>
      </c>
      <c r="B12" s="15"/>
      <c r="C12" s="21"/>
      <c r="D12" s="15"/>
      <c r="E12" s="15"/>
    </row>
    <row r="13" spans="1:2" ht="12" customHeight="1">
      <c r="A13" t="s">
        <v>3</v>
      </c>
      <c r="B13" s="20">
        <f>IF('Mijn gegevens'!D9="",0,'Mijn gegevens'!D9)</f>
        <v>0</v>
      </c>
    </row>
    <row r="14" spans="1:2" ht="12" customHeight="1">
      <c r="A14" t="s">
        <v>25</v>
      </c>
      <c r="B14" s="20"/>
    </row>
    <row r="15" spans="1:2" ht="11.25">
      <c r="A15" t="s">
        <v>31</v>
      </c>
      <c r="B15" s="283" t="b">
        <v>0</v>
      </c>
    </row>
    <row r="16" spans="1:2" ht="11.25">
      <c r="A16" t="s">
        <v>32</v>
      </c>
      <c r="B16" s="283" t="b">
        <v>0</v>
      </c>
    </row>
    <row r="17" spans="1:2" ht="11.25">
      <c r="A17" t="s">
        <v>34</v>
      </c>
      <c r="B17" s="283" t="b">
        <v>0</v>
      </c>
    </row>
    <row r="18" spans="1:3" ht="12" customHeight="1">
      <c r="A18" t="s">
        <v>23</v>
      </c>
      <c r="B18" s="16">
        <f>'Mijn gegevens'!D23</f>
        <v>0</v>
      </c>
      <c r="C18" t="s">
        <v>8</v>
      </c>
    </row>
    <row r="19" spans="1:2" ht="12" customHeight="1">
      <c r="A19" t="s">
        <v>37</v>
      </c>
      <c r="B19" s="29">
        <f>'Mijn gegevens'!D27</f>
        <v>0</v>
      </c>
    </row>
    <row r="22" ht="11.25">
      <c r="A22" s="24"/>
    </row>
    <row r="23" spans="1:5" ht="15.75">
      <c r="A23" s="15" t="s">
        <v>38</v>
      </c>
      <c r="B23" s="15"/>
      <c r="C23" s="21"/>
      <c r="D23" s="15"/>
      <c r="E23" s="15"/>
    </row>
    <row r="24" spans="1:4" ht="11.25">
      <c r="A24" t="s">
        <v>22</v>
      </c>
      <c r="B24" s="22">
        <f>IF(B18=0,1,B18/B6)</f>
        <v>1</v>
      </c>
      <c r="D24" s="23"/>
    </row>
    <row r="25" ht="11.25">
      <c r="A25" s="24"/>
    </row>
    <row r="26" spans="1:5" ht="15.75">
      <c r="A26" s="15" t="s">
        <v>17</v>
      </c>
      <c r="B26" s="15"/>
      <c r="C26" s="21"/>
      <c r="D26" s="15"/>
      <c r="E26" s="15"/>
    </row>
    <row r="27" spans="3:4" ht="11.25">
      <c r="C27" t="s">
        <v>11</v>
      </c>
      <c r="D27" t="s">
        <v>12</v>
      </c>
    </row>
    <row r="28" spans="1:4" ht="11.25">
      <c r="A28" t="s">
        <v>13</v>
      </c>
      <c r="B28" s="16">
        <f>IF(YEAR('Mijn gegevens'!D9)&lt;YEAR(B3),1,2)</f>
        <v>1</v>
      </c>
      <c r="C28" s="17">
        <f>IF(B28=1,12,IF('Mijn gegevens'!D9="",0,13-MONTH('Mijn gegevens'!D9)))</f>
        <v>12</v>
      </c>
      <c r="D28" s="278">
        <f>+C28/12</f>
        <v>1</v>
      </c>
    </row>
    <row r="29" spans="1:4" ht="11.25">
      <c r="A29" t="s">
        <v>14</v>
      </c>
      <c r="B29" s="16">
        <f>IF(B34=55,2,1)</f>
        <v>1</v>
      </c>
      <c r="C29" s="17">
        <f>IF(B29=2,IF(B13="",0,13-MONTH(B13)),12)</f>
        <v>12</v>
      </c>
      <c r="D29" s="278">
        <f>+C29/12</f>
        <v>1</v>
      </c>
    </row>
    <row r="30" spans="1:8" ht="11.25">
      <c r="A30" t="s">
        <v>194</v>
      </c>
      <c r="B30" s="16">
        <f>IF(B34=65,2,1)</f>
        <v>1</v>
      </c>
      <c r="C30" s="17">
        <f>IF(B30=2,IF(B13="",0,MONTH(13)-1),12)</f>
        <v>12</v>
      </c>
      <c r="D30" s="278">
        <f>C30/12</f>
        <v>1</v>
      </c>
      <c r="E30" s="16">
        <f>(MONTH(B13)-1)/12</f>
        <v>0</v>
      </c>
      <c r="G30" s="279"/>
      <c r="H30" s="265"/>
    </row>
    <row r="32" spans="1:5" ht="15.75">
      <c r="A32" s="15" t="s">
        <v>10</v>
      </c>
      <c r="B32" s="15"/>
      <c r="C32" s="21" t="s">
        <v>19</v>
      </c>
      <c r="D32" s="15"/>
      <c r="E32" s="15"/>
    </row>
    <row r="33" spans="1:2" ht="11.25">
      <c r="A33" t="s">
        <v>15</v>
      </c>
      <c r="B33">
        <f>IF('Mijn gegevens'!D9="","",YEAR(B3)-YEAR('Mijn gegevens'!D9))</f>
      </c>
    </row>
    <row r="34" spans="1:2" ht="11.25">
      <c r="A34" t="s">
        <v>16</v>
      </c>
      <c r="B34" s="16">
        <f>IF('Mijn gegevens'!D9="",0,B41-YEAR('Mijn gegevens'!D9))</f>
        <v>0</v>
      </c>
    </row>
    <row r="35" spans="1:8" ht="11.25">
      <c r="A35" t="s">
        <v>18</v>
      </c>
      <c r="B35">
        <f>IF(B13="","",DATEDIF(B13,C35,"y"))</f>
        <v>109</v>
      </c>
      <c r="C35" s="20">
        <v>40178</v>
      </c>
      <c r="H35" s="16"/>
    </row>
    <row r="36" ht="11.25">
      <c r="A36" s="24"/>
    </row>
    <row r="37" spans="1:5" ht="15.75">
      <c r="A37" s="15" t="s">
        <v>192</v>
      </c>
      <c r="B37" s="15"/>
      <c r="C37" s="21"/>
      <c r="D37" s="267" t="s">
        <v>197</v>
      </c>
      <c r="E37" s="15"/>
    </row>
    <row r="38" spans="1:5" ht="15.75">
      <c r="A38" s="15"/>
      <c r="B38" s="15"/>
      <c r="C38" s="21"/>
      <c r="D38" s="15"/>
      <c r="E38" s="15"/>
    </row>
    <row r="39" spans="1:2" ht="11.25">
      <c r="A39" t="s">
        <v>177</v>
      </c>
      <c r="B39" t="str">
        <f>B67</f>
        <v>Basis</v>
      </c>
    </row>
    <row r="41" spans="1:2" ht="11.25">
      <c r="A41" t="s">
        <v>208</v>
      </c>
      <c r="B41">
        <f>IF(B2="",IF(YEAR(B3)=2009,2010,YEAR(B3)),B2)</f>
        <v>2010</v>
      </c>
    </row>
    <row r="43" spans="1:3" ht="11.25">
      <c r="A43" s="242" t="s">
        <v>179</v>
      </c>
      <c r="B43" s="242" t="s">
        <v>180</v>
      </c>
      <c r="C43" s="242" t="s">
        <v>181</v>
      </c>
    </row>
    <row r="45" spans="1:3" ht="11.25">
      <c r="A45" s="172" t="s">
        <v>182</v>
      </c>
      <c r="B45" s="18">
        <f>B93</f>
        <v>0</v>
      </c>
      <c r="C45" s="18">
        <f>B102</f>
        <v>0</v>
      </c>
    </row>
    <row r="46" spans="1:3" ht="11.25">
      <c r="A46" s="172" t="s">
        <v>183</v>
      </c>
      <c r="B46" s="18">
        <f>B108</f>
        <v>0</v>
      </c>
      <c r="C46" s="1" t="s">
        <v>186</v>
      </c>
    </row>
    <row r="47" spans="1:3" ht="11.25">
      <c r="A47" s="172" t="s">
        <v>184</v>
      </c>
      <c r="B47" s="18">
        <f>B114+B124</f>
        <v>180</v>
      </c>
      <c r="C47" s="1" t="s">
        <v>186</v>
      </c>
    </row>
    <row r="48" spans="1:3" ht="11.25">
      <c r="A48" s="172" t="s">
        <v>185</v>
      </c>
      <c r="B48" s="1" t="s">
        <v>186</v>
      </c>
      <c r="C48" s="243">
        <f>B127</f>
        <v>0</v>
      </c>
    </row>
    <row r="50" spans="1:3" ht="11.25">
      <c r="A50" t="s">
        <v>187</v>
      </c>
      <c r="B50" s="18">
        <f>SUM(B45:B49)</f>
        <v>180</v>
      </c>
      <c r="C50" s="18">
        <f>SUM(C45:C49)</f>
        <v>0</v>
      </c>
    </row>
    <row r="52" spans="1:2" ht="11.25">
      <c r="A52" t="s">
        <v>188</v>
      </c>
      <c r="B52">
        <f>IF(B50=0,IF(YEAR(B4)=2010,20,IF(YEAR(B4)=2011,30,35)),0)</f>
        <v>0</v>
      </c>
    </row>
    <row r="54" spans="2:3" ht="11.25">
      <c r="B54" s="18"/>
      <c r="C54" s="18"/>
    </row>
    <row r="55" spans="2:3" ht="11.25">
      <c r="B55" s="18"/>
      <c r="C55" s="18"/>
    </row>
    <row r="56" spans="1:5" ht="15.75">
      <c r="A56" s="15" t="s">
        <v>193</v>
      </c>
      <c r="B56" s="15"/>
      <c r="C56" s="21"/>
      <c r="D56" s="15"/>
      <c r="E56" s="15"/>
    </row>
    <row r="57" spans="2:3" ht="11.25">
      <c r="B57" s="18"/>
      <c r="C57" s="18"/>
    </row>
    <row r="58" spans="1:3" ht="11.25">
      <c r="A58" t="s">
        <v>195</v>
      </c>
      <c r="B58">
        <f>IF(B13="","",B35-9)</f>
        <v>100</v>
      </c>
      <c r="C58" s="18"/>
    </row>
    <row r="59" spans="1:3" ht="11.25">
      <c r="A59" t="s">
        <v>196</v>
      </c>
      <c r="B59" s="264">
        <f>B41-2008</f>
        <v>2</v>
      </c>
      <c r="C59" s="18"/>
    </row>
    <row r="60" spans="2:3" ht="11.25">
      <c r="B60" s="264"/>
      <c r="C60" s="18"/>
    </row>
    <row r="61" spans="1:3" ht="11.25">
      <c r="A61" t="s">
        <v>188</v>
      </c>
      <c r="B61" s="18">
        <f>IF(B58=100,0,INDEX(Tabel_basisrecht!A$1:AY$55,B$35-9,B41-2008))</f>
        <v>0</v>
      </c>
      <c r="C61" s="18"/>
    </row>
    <row r="62" spans="1:3" ht="11.25">
      <c r="A62" t="s">
        <v>24</v>
      </c>
      <c r="B62" s="18">
        <f>IF(B58=100,0,INDEX(Tabel_overgangsrecht!A$1:AY$55,B$35-9,B41-2008)*B15)</f>
        <v>0</v>
      </c>
      <c r="C62" s="18"/>
    </row>
    <row r="63" spans="1:3" ht="11.25">
      <c r="A63" t="s">
        <v>1</v>
      </c>
      <c r="B63" s="18">
        <f>+B61+B62</f>
        <v>0</v>
      </c>
      <c r="C63" s="18"/>
    </row>
    <row r="64" spans="2:3" ht="11.25">
      <c r="B64" s="18"/>
      <c r="C64" s="18"/>
    </row>
    <row r="65" spans="2:3" ht="11.25">
      <c r="B65" s="18"/>
      <c r="C65" s="18"/>
    </row>
    <row r="66" spans="2:3" ht="11.25">
      <c r="B66" s="18"/>
      <c r="C66" s="18"/>
    </row>
    <row r="67" spans="1:2" ht="11.25">
      <c r="A67" t="s">
        <v>177</v>
      </c>
      <c r="B67" t="str">
        <f>IF(AND(B16=FALSE,B15=FALSE),"Basis",IF(B15,IF(B35&lt;45,"Basis",IF(AND(B35&gt;=45,B35&lt;50,B16=TRUE),"D",IF(AND(B35&gt;=50,B35&lt;55),"A",IF(AND(B35&gt;=55,B35&lt;60),"B",IF(B35&gt;=60,"C","Basis"))))),"Basis"))</f>
        <v>Basis</v>
      </c>
    </row>
    <row r="68" spans="2:3" ht="11.25">
      <c r="B68" s="18"/>
      <c r="C68" s="18"/>
    </row>
    <row r="69" spans="1:3" ht="11.25">
      <c r="A69" s="242" t="s">
        <v>179</v>
      </c>
      <c r="B69" s="242" t="s">
        <v>180</v>
      </c>
      <c r="C69" s="242" t="s">
        <v>199</v>
      </c>
    </row>
    <row r="71" spans="1:3" ht="11.25">
      <c r="A71" s="172" t="s">
        <v>182</v>
      </c>
      <c r="B71" s="243" t="str">
        <f>IF(AND(B15=TRUE,B$67="A"),B63*B24,"n.v.t.")</f>
        <v>n.v.t.</v>
      </c>
      <c r="C71" s="243">
        <f>IF(B13=0,0,IF(AND(B15=TRUE,B$34&lt;55,B$35&gt;=50),VLOOKUP(B$35,A$96:B$100,2,FALSE)*B24,"n.v.t."))</f>
        <v>0</v>
      </c>
    </row>
    <row r="72" spans="1:3" ht="11.25">
      <c r="A72" s="172" t="s">
        <v>183</v>
      </c>
      <c r="B72" s="243" t="str">
        <f>IF(B$67="B",IF(B17=FALSE,B63*B24,B124),"n.v.t.")</f>
        <v>n.v.t.</v>
      </c>
      <c r="C72" s="1" t="s">
        <v>186</v>
      </c>
    </row>
    <row r="73" spans="1:3" ht="11.25">
      <c r="A73" s="172" t="s">
        <v>184</v>
      </c>
      <c r="B73" s="243" t="str">
        <f>IF(B$67="C",IF(B17=FALSE,B63*B24,B124),"n.v.t.")</f>
        <v>n.v.t.</v>
      </c>
      <c r="C73" s="1" t="s">
        <v>186</v>
      </c>
    </row>
    <row r="74" spans="1:5" ht="11.25">
      <c r="A74" s="172" t="s">
        <v>185</v>
      </c>
      <c r="B74" s="243" t="str">
        <f>IF(B$67="D",B63*B24,"n.v.t.")</f>
        <v>n.v.t.</v>
      </c>
      <c r="C74" s="243" t="str">
        <f>IF(AND(B16=TRUE,B15=TRUE,B$34&lt;55,B$35&gt;=45,B35&lt;50),200*B24,"n.v.t.")</f>
        <v>n.v.t.</v>
      </c>
      <c r="E74" s="18"/>
    </row>
    <row r="76" spans="1:3" ht="11.25">
      <c r="A76" t="s">
        <v>187</v>
      </c>
      <c r="B76" s="18">
        <f>SUM(B71:B75)</f>
        <v>0</v>
      </c>
      <c r="C76" s="18">
        <f>SUM(C71:C75)</f>
        <v>0</v>
      </c>
    </row>
    <row r="78" spans="1:3" ht="11.25">
      <c r="A78" t="s">
        <v>188</v>
      </c>
      <c r="B78" s="1">
        <f>IF(B67="Basis",B63*B24," n.v.t.")</f>
        <v>0</v>
      </c>
      <c r="C78" s="1" t="s">
        <v>186</v>
      </c>
    </row>
    <row r="79" spans="1:3" ht="11.25">
      <c r="A79" t="s">
        <v>220</v>
      </c>
      <c r="B79" s="1">
        <f>IF(AND(B35&gt;=50,B67="basis",B4=2010),10,0)*B24</f>
        <v>10</v>
      </c>
      <c r="C79" s="1"/>
    </row>
    <row r="80" spans="2:3" ht="11.25">
      <c r="B80" s="1"/>
      <c r="C80" s="1"/>
    </row>
    <row r="82" spans="1:3" ht="11.25">
      <c r="A82" t="s">
        <v>1</v>
      </c>
      <c r="B82" s="18">
        <f>SUM(B76:B81)</f>
        <v>10</v>
      </c>
      <c r="C82" s="18">
        <f>SUM(C76:C78)</f>
        <v>0</v>
      </c>
    </row>
    <row r="83" ht="11.25">
      <c r="A83" s="24"/>
    </row>
    <row r="84" spans="1:5" ht="15.75">
      <c r="A84" s="15" t="s">
        <v>165</v>
      </c>
      <c r="B84" s="15"/>
      <c r="C84" s="21"/>
      <c r="D84" s="15"/>
      <c r="E84" s="15"/>
    </row>
    <row r="85" spans="1:3" ht="11.25">
      <c r="A85" t="s">
        <v>175</v>
      </c>
      <c r="C85" s="172"/>
    </row>
    <row r="86" ht="11.25">
      <c r="C86" s="172"/>
    </row>
    <row r="87" spans="1:3" ht="11.25">
      <c r="A87">
        <v>2010</v>
      </c>
      <c r="B87">
        <v>30</v>
      </c>
      <c r="C87" s="23" t="s">
        <v>8</v>
      </c>
    </row>
    <row r="88" spans="1:3" ht="11.25">
      <c r="A88">
        <v>2011</v>
      </c>
      <c r="B88">
        <v>30</v>
      </c>
      <c r="C88" s="23" t="s">
        <v>8</v>
      </c>
    </row>
    <row r="89" spans="1:3" ht="11.25">
      <c r="A89">
        <v>2012</v>
      </c>
      <c r="B89">
        <v>35</v>
      </c>
      <c r="C89" s="23" t="s">
        <v>8</v>
      </c>
    </row>
    <row r="90" spans="1:3" ht="11.25">
      <c r="A90">
        <v>2013</v>
      </c>
      <c r="B90">
        <v>35</v>
      </c>
      <c r="C90" s="23" t="s">
        <v>8</v>
      </c>
    </row>
    <row r="91" ht="11.25">
      <c r="C91" s="23"/>
    </row>
    <row r="92" spans="1:3" ht="11.25">
      <c r="A92" t="s">
        <v>178</v>
      </c>
      <c r="B92" t="b">
        <f>AND(B35&gt;=50,B35&lt;55)</f>
        <v>0</v>
      </c>
      <c r="C92" s="23"/>
    </row>
    <row r="93" spans="1:3" ht="11.25">
      <c r="A93" t="s">
        <v>174</v>
      </c>
      <c r="B93">
        <f>IF(AND(B41&gt;=2010,B41&lt;=2013,B35&gt;=50,B35&lt;55),VLOOKUP(B41,A87:B90,2,FALSE),0)</f>
        <v>0</v>
      </c>
      <c r="C93" s="23" t="s">
        <v>8</v>
      </c>
    </row>
    <row r="94" ht="11.25">
      <c r="C94" s="23"/>
    </row>
    <row r="95" spans="1:3" ht="11.25">
      <c r="A95" t="s">
        <v>176</v>
      </c>
      <c r="C95" s="172"/>
    </row>
    <row r="96" spans="1:3" ht="11.25">
      <c r="A96">
        <v>50</v>
      </c>
      <c r="B96">
        <v>80</v>
      </c>
      <c r="C96" t="s">
        <v>171</v>
      </c>
    </row>
    <row r="97" spans="1:3" ht="11.25">
      <c r="A97">
        <v>51</v>
      </c>
      <c r="B97">
        <v>100</v>
      </c>
      <c r="C97" t="s">
        <v>171</v>
      </c>
    </row>
    <row r="98" spans="1:3" ht="11.25">
      <c r="A98">
        <v>52</v>
      </c>
      <c r="B98">
        <v>120</v>
      </c>
      <c r="C98" t="s">
        <v>171</v>
      </c>
    </row>
    <row r="99" spans="1:3" ht="11.25">
      <c r="A99">
        <v>53</v>
      </c>
      <c r="B99">
        <v>135</v>
      </c>
      <c r="C99" t="s">
        <v>171</v>
      </c>
    </row>
    <row r="100" spans="1:3" ht="11.25">
      <c r="A100">
        <v>54</v>
      </c>
      <c r="B100">
        <v>150</v>
      </c>
      <c r="C100" t="s">
        <v>171</v>
      </c>
    </row>
    <row r="102" spans="2:3" ht="11.25">
      <c r="B102">
        <f>IF(AND(B35&gt;=50,B35&lt;55),VLOOKUP(B35,A96:B100,2,FALSE),0)*B15*(1-B17)*B24</f>
        <v>0</v>
      </c>
      <c r="C102" t="s">
        <v>8</v>
      </c>
    </row>
    <row r="104" spans="1:5" ht="15.75">
      <c r="A104" s="15" t="s">
        <v>169</v>
      </c>
      <c r="B104" s="15"/>
      <c r="C104" s="21"/>
      <c r="D104" s="15"/>
      <c r="E104" s="15"/>
    </row>
    <row r="105" ht="11.25">
      <c r="A105" t="s">
        <v>170</v>
      </c>
    </row>
    <row r="106" spans="1:2" ht="11.25">
      <c r="A106" t="s">
        <v>21</v>
      </c>
      <c r="B106">
        <v>165</v>
      </c>
    </row>
    <row r="107" spans="1:3" ht="11.25">
      <c r="A107" t="s">
        <v>174</v>
      </c>
      <c r="B107">
        <f>IF(AND(B35&gt;=55,B35&lt;60),B106,0)</f>
        <v>0</v>
      </c>
      <c r="C107" t="s">
        <v>8</v>
      </c>
    </row>
    <row r="108" spans="1:3" ht="11.25">
      <c r="A108" t="s">
        <v>135</v>
      </c>
      <c r="B108">
        <f>+B107*B24</f>
        <v>0</v>
      </c>
      <c r="C108" t="s">
        <v>8</v>
      </c>
    </row>
    <row r="110" spans="1:5" ht="15.75">
      <c r="A110" s="15" t="s">
        <v>172</v>
      </c>
      <c r="B110" s="15"/>
      <c r="C110" s="21"/>
      <c r="D110" s="15"/>
      <c r="E110" s="15"/>
    </row>
    <row r="111" ht="11.25">
      <c r="A111" t="s">
        <v>173</v>
      </c>
    </row>
    <row r="112" spans="1:2" ht="11.25">
      <c r="A112" t="s">
        <v>21</v>
      </c>
      <c r="B112">
        <v>180</v>
      </c>
    </row>
    <row r="113" spans="1:2" ht="11.25">
      <c r="A113" t="s">
        <v>174</v>
      </c>
      <c r="B113">
        <f>IF(B35&gt;=60,B112,0)</f>
        <v>180</v>
      </c>
    </row>
    <row r="114" spans="1:2" ht="11.25">
      <c r="A114" t="s">
        <v>135</v>
      </c>
      <c r="B114">
        <f>IF(B17=FALSE,B113*B24,0)</f>
        <v>180</v>
      </c>
    </row>
    <row r="117" spans="1:5" ht="15.75">
      <c r="A117" s="15" t="s">
        <v>166</v>
      </c>
      <c r="B117" s="15"/>
      <c r="C117" s="21"/>
      <c r="D117" s="15"/>
      <c r="E117" s="15"/>
    </row>
    <row r="118" ht="11.25">
      <c r="A118" t="s">
        <v>87</v>
      </c>
    </row>
    <row r="119" spans="1:3" ht="11.25">
      <c r="A119">
        <v>36</v>
      </c>
      <c r="B119">
        <v>208</v>
      </c>
      <c r="C119" t="s">
        <v>8</v>
      </c>
    </row>
    <row r="120" spans="1:3" ht="11.25">
      <c r="A120">
        <v>35</v>
      </c>
      <c r="B120">
        <v>172</v>
      </c>
      <c r="C120" t="s">
        <v>8</v>
      </c>
    </row>
    <row r="121" spans="1:3" ht="11.25">
      <c r="A121">
        <v>34</v>
      </c>
      <c r="B121">
        <v>136</v>
      </c>
      <c r="C121" t="s">
        <v>8</v>
      </c>
    </row>
    <row r="122" spans="1:3" ht="11.25">
      <c r="A122">
        <v>33</v>
      </c>
      <c r="B122">
        <v>100</v>
      </c>
      <c r="C122" t="s">
        <v>8</v>
      </c>
    </row>
    <row r="124" spans="2:6" ht="11.25">
      <c r="B124" s="153">
        <f>IF(B18=0,0,IF(AND(B18&gt;=33,B18&lt;=36),VLOOKUP(B18,A119:B122,2,FALSE),0)*B15*B17)</f>
        <v>0</v>
      </c>
      <c r="C124" t="s">
        <v>8</v>
      </c>
      <c r="F124" s="18"/>
    </row>
    <row r="125" ht="11.25">
      <c r="B125" s="240"/>
    </row>
    <row r="126" spans="1:5" ht="15.75">
      <c r="A126" s="15" t="s">
        <v>167</v>
      </c>
      <c r="B126" s="15"/>
      <c r="C126" s="21"/>
      <c r="D126" s="15"/>
      <c r="E126" s="15"/>
    </row>
    <row r="127" spans="1:6" ht="11.25">
      <c r="A127" t="s">
        <v>168</v>
      </c>
      <c r="B127" s="241">
        <f>IF(AND(B35&gt;=45,B35&lt;50),200,0)*B15*B16*B24</f>
        <v>0</v>
      </c>
      <c r="F127" s="18"/>
    </row>
    <row r="129" spans="1:5" ht="15.75">
      <c r="A129" s="15" t="s">
        <v>111</v>
      </c>
      <c r="B129" s="15"/>
      <c r="C129" s="21"/>
      <c r="D129" s="15"/>
      <c r="E129" s="15"/>
    </row>
    <row r="131" spans="1:5" ht="25.5" customHeight="1">
      <c r="A131" s="186" t="s">
        <v>112</v>
      </c>
      <c r="E131" s="187"/>
    </row>
    <row r="132" spans="1:5" ht="27.75" customHeight="1">
      <c r="A132" s="186"/>
      <c r="B132" s="304" t="s">
        <v>113</v>
      </c>
      <c r="C132" s="304"/>
      <c r="D132" s="187" t="s">
        <v>114</v>
      </c>
      <c r="E132" s="187"/>
    </row>
    <row r="133" spans="1:5" ht="12.75">
      <c r="A133" s="188" t="s">
        <v>115</v>
      </c>
      <c r="B133" s="172" t="s">
        <v>116</v>
      </c>
      <c r="C133" s="172" t="s">
        <v>117</v>
      </c>
      <c r="D133" s="189"/>
      <c r="E133" s="189"/>
    </row>
    <row r="134" spans="1:5" ht="12.75">
      <c r="A134" s="189">
        <v>1</v>
      </c>
      <c r="B134" s="190">
        <v>0</v>
      </c>
      <c r="C134" s="192">
        <v>17878</v>
      </c>
      <c r="D134" s="193">
        <v>0.335</v>
      </c>
      <c r="E134" s="193"/>
    </row>
    <row r="135" spans="1:5" ht="12.75">
      <c r="A135" s="189">
        <v>2</v>
      </c>
      <c r="B135" s="190">
        <f>C134+1</f>
        <v>17879</v>
      </c>
      <c r="C135" s="192">
        <v>32127</v>
      </c>
      <c r="D135" s="193">
        <v>0.42</v>
      </c>
      <c r="E135" s="193"/>
    </row>
    <row r="136" spans="1:5" ht="12.75">
      <c r="A136" s="189">
        <v>3</v>
      </c>
      <c r="B136" s="190">
        <f>C135+1</f>
        <v>32128</v>
      </c>
      <c r="C136" s="192">
        <v>54776</v>
      </c>
      <c r="D136" s="193">
        <v>0.42</v>
      </c>
      <c r="E136" s="194"/>
    </row>
    <row r="137" spans="1:5" ht="12.75">
      <c r="A137" s="189">
        <v>4</v>
      </c>
      <c r="B137" s="190">
        <f>C136+1</f>
        <v>54777</v>
      </c>
      <c r="C137" s="192"/>
      <c r="D137" s="193">
        <v>0.52</v>
      </c>
      <c r="E137" s="194"/>
    </row>
    <row r="139" spans="1:4" ht="11.25">
      <c r="A139" t="s">
        <v>118</v>
      </c>
      <c r="B139" s="29">
        <f>maatman!G21</f>
        <v>0</v>
      </c>
      <c r="D139" s="195"/>
    </row>
    <row r="140" ht="11.25">
      <c r="B140" s="29"/>
    </row>
    <row r="141" ht="11.25">
      <c r="A141" t="s">
        <v>119</v>
      </c>
    </row>
    <row r="142" spans="1:3" ht="11.25">
      <c r="A142">
        <v>1</v>
      </c>
      <c r="B142" s="22">
        <f>IF(B139&lt;=C134,D134,0)</f>
        <v>0.335</v>
      </c>
      <c r="C142" s="29"/>
    </row>
    <row r="143" spans="1:2" ht="11.25">
      <c r="A143">
        <v>2</v>
      </c>
      <c r="B143" s="22">
        <f>IF(AND(B139&gt;=B135,B139&lt;=C135),D135,0)</f>
        <v>0</v>
      </c>
    </row>
    <row r="144" spans="1:2" ht="11.25">
      <c r="A144">
        <v>3</v>
      </c>
      <c r="B144" s="22">
        <f>IF(AND(B139&gt;=B136,B139&lt;=C136),D136,0)</f>
        <v>0</v>
      </c>
    </row>
    <row r="145" spans="1:2" ht="11.25">
      <c r="A145">
        <v>4</v>
      </c>
      <c r="B145" s="22">
        <f>IF(B139&gt;=B137,D137,0)</f>
        <v>0</v>
      </c>
    </row>
    <row r="146" spans="1:2" ht="11.25">
      <c r="A146" t="s">
        <v>112</v>
      </c>
      <c r="B146" s="196">
        <f>SUM(B142:B145)</f>
        <v>0.335</v>
      </c>
    </row>
  </sheetData>
  <sheetProtection password="DCBC" sheet="1" objects="1" scenarios="1" selectLockedCells="1" selectUnlockedCells="1"/>
  <mergeCells count="1">
    <mergeCell ref="B132:C132"/>
  </mergeCell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Blad40"/>
  <dimension ref="A2:AE91"/>
  <sheetViews>
    <sheetView workbookViewId="0" topLeftCell="C1">
      <selection activeCell="H21" sqref="H21"/>
    </sheetView>
  </sheetViews>
  <sheetFormatPr defaultColWidth="9.00390625" defaultRowHeight="11.25"/>
  <cols>
    <col min="1" max="1" width="10.125" style="94" customWidth="1"/>
    <col min="2" max="2" width="9.875" style="94" customWidth="1"/>
    <col min="3" max="3" width="13.125" style="94" customWidth="1"/>
    <col min="4" max="4" width="9.50390625" style="94" bestFit="1" customWidth="1"/>
    <col min="5" max="6" width="10.25390625" style="94" customWidth="1"/>
    <col min="7" max="7" width="9.75390625" style="94" bestFit="1" customWidth="1"/>
    <col min="8" max="8" width="9.375" style="94" bestFit="1" customWidth="1"/>
    <col min="9" max="9" width="9.375" style="94" customWidth="1"/>
    <col min="10" max="10" width="8.00390625" style="94" customWidth="1"/>
    <col min="11" max="12" width="9.50390625" style="148" customWidth="1"/>
    <col min="13" max="13" width="10.375" style="148" customWidth="1"/>
    <col min="14" max="14" width="11.25390625" style="104" bestFit="1" customWidth="1"/>
    <col min="15" max="15" width="11.25390625" style="104" customWidth="1"/>
    <col min="16" max="16" width="12.25390625" style="105" bestFit="1" customWidth="1"/>
    <col min="17" max="18" width="10.375" style="105" bestFit="1" customWidth="1"/>
    <col min="19" max="19" width="10.875" style="105" bestFit="1" customWidth="1"/>
    <col min="20" max="20" width="12.125" style="105" customWidth="1"/>
    <col min="21" max="21" width="10.375" style="235" bestFit="1" customWidth="1"/>
    <col min="22" max="22" width="10.375" style="227" bestFit="1" customWidth="1"/>
    <col min="23" max="23" width="10.375" style="105" bestFit="1" customWidth="1"/>
    <col min="24" max="24" width="11.75390625" style="94" hidden="1" customWidth="1"/>
    <col min="25" max="25" width="9.50390625" style="105" bestFit="1" customWidth="1"/>
    <col min="26" max="26" width="11.50390625" style="94" customWidth="1"/>
    <col min="27" max="28" width="10.375" style="105" bestFit="1" customWidth="1"/>
    <col min="29" max="29" width="8.00390625" style="94" customWidth="1"/>
    <col min="30" max="30" width="9.50390625" style="94" bestFit="1" customWidth="1"/>
    <col min="31" max="16384" width="8.00390625" style="94" customWidth="1"/>
  </cols>
  <sheetData>
    <row r="1" ht="12.75"/>
    <row r="2" ht="12.75">
      <c r="D2" s="95"/>
    </row>
    <row r="3" spans="3:6" ht="12.75">
      <c r="C3" s="94" t="s">
        <v>58</v>
      </c>
      <c r="D3" s="107">
        <f>'Mijn gegevens'!D27</f>
        <v>0</v>
      </c>
      <c r="F3" s="124"/>
    </row>
    <row r="4" spans="3:4" ht="12.75">
      <c r="C4" s="124" t="s">
        <v>89</v>
      </c>
      <c r="D4" s="123">
        <f>IF('Mijn spaartegoed'!D19+YEAR('Mijn gegevens'!D9)&lt;=D7,D7+1,'Mijn spaartegoed'!D19+YEAR('Mijn gegevens'!D9)-1)</f>
        <v>2011</v>
      </c>
    </row>
    <row r="5" spans="3:6" ht="12.75">
      <c r="C5" s="94" t="s">
        <v>60</v>
      </c>
      <c r="D5" s="96">
        <v>0.0225</v>
      </c>
      <c r="F5" s="124"/>
    </row>
    <row r="6" spans="3:4" ht="12.75">
      <c r="C6" s="94" t="s">
        <v>61</v>
      </c>
      <c r="D6" s="96">
        <f>IF('Mijn spaartegoed'!D22="",0.034,'Mijn spaartegoed'!D22/100)</f>
        <v>0.034</v>
      </c>
    </row>
    <row r="7" spans="3:4" ht="12.75">
      <c r="C7" s="94" t="s">
        <v>62</v>
      </c>
      <c r="D7" s="120">
        <f>Rekenblad!B41</f>
        <v>2010</v>
      </c>
    </row>
    <row r="8" spans="3:10" ht="12.75">
      <c r="C8" s="94" t="s">
        <v>63</v>
      </c>
      <c r="D8" s="97">
        <f>Rekenblad!B146</f>
        <v>0.335</v>
      </c>
      <c r="J8" s="282">
        <f>SUM(J21:J28)*E28</f>
        <v>0</v>
      </c>
    </row>
    <row r="9" spans="3:4" ht="12.75">
      <c r="C9" s="94" t="s">
        <v>64</v>
      </c>
      <c r="D9" s="98">
        <v>195</v>
      </c>
    </row>
    <row r="10" spans="3:4" ht="12.75">
      <c r="C10" s="94" t="s">
        <v>65</v>
      </c>
      <c r="D10" s="99">
        <f>156*Rekenblad!B24</f>
        <v>156</v>
      </c>
    </row>
    <row r="11" spans="3:4" ht="12.75">
      <c r="C11" s="124" t="s">
        <v>59</v>
      </c>
      <c r="D11" s="125">
        <f>'Mijn spaartegoed'!D19</f>
        <v>0</v>
      </c>
    </row>
    <row r="12" ht="12.75">
      <c r="D12" s="100"/>
    </row>
    <row r="13" spans="3:4" ht="12.75">
      <c r="C13" s="124" t="s">
        <v>128</v>
      </c>
      <c r="D13" s="214">
        <f>D11*'Mijn spaartegoed'!D17</f>
        <v>0</v>
      </c>
    </row>
    <row r="14" ht="12.75">
      <c r="D14" s="100"/>
    </row>
    <row r="15" spans="3:4" ht="12.75">
      <c r="C15" s="125">
        <f>'Mijn spaartegoed'!D19+YEAR('Mijn gegevens'!D9)</f>
        <v>1900</v>
      </c>
      <c r="D15" s="100"/>
    </row>
    <row r="16" ht="12.75">
      <c r="D16" s="100"/>
    </row>
    <row r="17" ht="12.75">
      <c r="D17" s="100"/>
    </row>
    <row r="18" spans="1:28" ht="12.75">
      <c r="A18" s="275"/>
      <c r="K18" s="94"/>
      <c r="L18" s="94"/>
      <c r="M18" s="94"/>
      <c r="N18" s="94"/>
      <c r="O18" s="94"/>
      <c r="P18" s="94"/>
      <c r="Q18" s="94"/>
      <c r="R18" s="94"/>
      <c r="S18" s="94"/>
      <c r="T18" s="94"/>
      <c r="U18" s="94"/>
      <c r="V18" s="94"/>
      <c r="W18" s="94"/>
      <c r="Y18" s="94"/>
      <c r="AA18" s="94"/>
      <c r="AB18" s="94"/>
    </row>
    <row r="19" spans="4:28" ht="12.75">
      <c r="D19" s="215"/>
      <c r="E19" s="216" t="s">
        <v>130</v>
      </c>
      <c r="F19" s="216"/>
      <c r="G19" s="215"/>
      <c r="H19" s="217"/>
      <c r="I19" s="217"/>
      <c r="J19" s="147"/>
      <c r="K19" s="149" t="s">
        <v>131</v>
      </c>
      <c r="L19" s="149"/>
      <c r="M19" s="149"/>
      <c r="N19" s="219" t="s">
        <v>134</v>
      </c>
      <c r="O19" s="219"/>
      <c r="P19" s="305" t="s">
        <v>66</v>
      </c>
      <c r="Q19" s="305"/>
      <c r="R19" s="305"/>
      <c r="S19" s="305"/>
      <c r="T19" s="233"/>
      <c r="U19" s="306" t="s">
        <v>67</v>
      </c>
      <c r="V19" s="307"/>
      <c r="W19" s="308"/>
      <c r="Y19" s="309" t="s">
        <v>141</v>
      </c>
      <c r="Z19" s="310"/>
      <c r="AA19" s="310"/>
      <c r="AB19" s="310"/>
    </row>
    <row r="20" spans="1:31" s="101" customFormat="1" ht="63.75">
      <c r="A20" s="101" t="s">
        <v>57</v>
      </c>
      <c r="B20" s="101" t="s">
        <v>68</v>
      </c>
      <c r="C20" s="101" t="s">
        <v>69</v>
      </c>
      <c r="D20" s="101" t="s">
        <v>70</v>
      </c>
      <c r="E20" s="222" t="s">
        <v>143</v>
      </c>
      <c r="F20" s="222" t="s">
        <v>142</v>
      </c>
      <c r="G20" s="101" t="s">
        <v>71</v>
      </c>
      <c r="H20" s="146" t="s">
        <v>132</v>
      </c>
      <c r="I20" s="146" t="s">
        <v>133</v>
      </c>
      <c r="J20" s="146" t="s">
        <v>90</v>
      </c>
      <c r="K20" s="150" t="s">
        <v>91</v>
      </c>
      <c r="L20" s="150" t="s">
        <v>92</v>
      </c>
      <c r="M20" s="150" t="s">
        <v>93</v>
      </c>
      <c r="N20" s="146" t="s">
        <v>129</v>
      </c>
      <c r="O20" s="146" t="s">
        <v>135</v>
      </c>
      <c r="P20" s="232" t="s">
        <v>72</v>
      </c>
      <c r="Q20" s="232" t="s">
        <v>73</v>
      </c>
      <c r="R20" s="232" t="s">
        <v>74</v>
      </c>
      <c r="S20" s="232" t="s">
        <v>75</v>
      </c>
      <c r="T20" s="234" t="s">
        <v>146</v>
      </c>
      <c r="U20" s="236" t="s">
        <v>76</v>
      </c>
      <c r="V20" s="231" t="s">
        <v>77</v>
      </c>
      <c r="W20" s="232" t="s">
        <v>78</v>
      </c>
      <c r="Y20" s="234" t="s">
        <v>139</v>
      </c>
      <c r="Z20" s="222" t="s">
        <v>140</v>
      </c>
      <c r="AA20" s="231" t="s">
        <v>77</v>
      </c>
      <c r="AB20" s="232" t="s">
        <v>78</v>
      </c>
      <c r="AC20" s="222" t="s">
        <v>144</v>
      </c>
      <c r="AD20" s="222" t="s">
        <v>148</v>
      </c>
      <c r="AE20" s="222" t="s">
        <v>149</v>
      </c>
    </row>
    <row r="21" spans="1:31" ht="12.75">
      <c r="A21" s="102">
        <f>D7</f>
        <v>2010</v>
      </c>
      <c r="B21" s="94" t="b">
        <v>1</v>
      </c>
      <c r="C21" s="94">
        <f>Rekenblad!B35+1</f>
        <v>110</v>
      </c>
      <c r="D21" s="103">
        <f>D3</f>
        <v>0</v>
      </c>
      <c r="E21" s="105">
        <f aca="true" t="shared" si="0" ref="E21:E52">D21/D$10</f>
        <v>0</v>
      </c>
      <c r="F21" s="105">
        <f>E21*(1-D$8)</f>
        <v>0</v>
      </c>
      <c r="G21" s="103">
        <f>12*D21</f>
        <v>0</v>
      </c>
      <c r="H21" s="218">
        <f>IF(OR(Rekenblad!B$35&lt;15,Rekenblad!B$35&gt;64),0,IF(Rekenblad!B$15,VLOOKUP(Rekenblad!B$35,Tabel_totaalrecht!A$6:AY$55,maatman!A21-2008,FALSE),VLOOKUP(Rekenblad!B$35,Tabel_basisrecht!A$6:AY$55,maatman!A21-2008,FALSE)))</f>
        <v>0</v>
      </c>
      <c r="I21" s="218">
        <f>H21*Rekenblad!B$24</f>
        <v>0</v>
      </c>
      <c r="J21" s="276">
        <f>I21*('Mijn spaartegoed'!D$17/100)</f>
        <v>0</v>
      </c>
      <c r="K21" s="151">
        <f aca="true" t="shared" si="1" ref="K21:K52">J21*E21</f>
        <v>0</v>
      </c>
      <c r="L21" s="151">
        <v>0</v>
      </c>
      <c r="M21" s="148">
        <f>K21+L21</f>
        <v>0</v>
      </c>
      <c r="N21" s="104">
        <f>H21</f>
        <v>0</v>
      </c>
      <c r="O21" s="104">
        <f>I21</f>
        <v>0</v>
      </c>
      <c r="P21" s="105">
        <f>M21*D$8</f>
        <v>0</v>
      </c>
      <c r="Q21" s="105">
        <f>D9</f>
        <v>195</v>
      </c>
      <c r="R21" s="105">
        <f>M21-P21</f>
        <v>0</v>
      </c>
      <c r="S21" s="105">
        <f>IF(P21=0,0,M21-(P21-Q21))</f>
        <v>0</v>
      </c>
      <c r="T21" s="229">
        <f>IF(F21=0,0,S21/F21)</f>
        <v>0</v>
      </c>
      <c r="U21" s="235">
        <f>O21*E21</f>
        <v>0</v>
      </c>
      <c r="V21" s="227">
        <f aca="true" t="shared" si="2" ref="V21:V52">U21*D$8</f>
        <v>0</v>
      </c>
      <c r="W21" s="105">
        <f aca="true" t="shared" si="3" ref="W21:W67">U21-V21</f>
        <v>0</v>
      </c>
      <c r="X21" s="224">
        <f>+O21*E21</f>
        <v>0</v>
      </c>
      <c r="Y21" s="105">
        <f>J21*E25</f>
        <v>0</v>
      </c>
      <c r="Z21" s="223">
        <f>SUM(J17:J21)*E21</f>
        <v>0</v>
      </c>
      <c r="AA21" s="227">
        <f aca="true" t="shared" si="4" ref="AA21:AA52">Z21*D$8</f>
        <v>0</v>
      </c>
      <c r="AB21" s="105">
        <f>Z21-AA21</f>
        <v>0</v>
      </c>
      <c r="AC21" s="229">
        <f>IF(OR(J21=0,F21=0),0,AB21/F21)</f>
        <v>0</v>
      </c>
      <c r="AD21" s="228">
        <f>F21*('Mijn spaartegoed'!E$34/100)</f>
        <v>0</v>
      </c>
      <c r="AE21" s="238">
        <f aca="true" t="shared" si="5" ref="AE21:AE52">IF(AD21=0,0,S21/AD21)</f>
        <v>0</v>
      </c>
    </row>
    <row r="22" spans="1:31" ht="12.75">
      <c r="A22" s="94">
        <f aca="true" t="shared" si="6" ref="A22:A53">IF($B22,A21+1,"")</f>
        <v>2011</v>
      </c>
      <c r="B22" s="94" t="b">
        <f aca="true" t="shared" si="7" ref="B22:B53">C21&lt;$D$4-1</f>
        <v>1</v>
      </c>
      <c r="C22" s="94">
        <f aca="true" t="shared" si="8" ref="C22:C53">IF($B22,C21+1,"")</f>
        <v>111</v>
      </c>
      <c r="D22" s="119">
        <f>IF(H21=0,0,IF($B22,D21*(1+$D$5)*(1+VLOOKUP(C21,carriere!$A$2:$D$52,4)),""))</f>
        <v>0</v>
      </c>
      <c r="E22" s="105">
        <f t="shared" si="0"/>
        <v>0</v>
      </c>
      <c r="F22" s="105">
        <f aca="true" t="shared" si="9" ref="F22:F80">E22*(1-D$8)</f>
        <v>0</v>
      </c>
      <c r="G22" s="103">
        <f aca="true" t="shared" si="10" ref="G22:G53">IF($B22,12*D22,"")</f>
        <v>0</v>
      </c>
      <c r="H22" s="218">
        <f>IF(OR(Rekenblad!B$35&lt;15,Rekenblad!B$35&gt;65),0,IF(Rekenblad!B$15,VLOOKUP(Rekenblad!B$35,Tabel_totaalrecht!A$6:AY$55,maatman!A22-2008,FALSE),VLOOKUP(Rekenblad!B$35,Tabel_basisrecht!A$6:AY$55,maatman!A22-2008,FALSE)))</f>
        <v>0</v>
      </c>
      <c r="I22" s="218">
        <f>H22*Rekenblad!B$24</f>
        <v>0</v>
      </c>
      <c r="J22" s="276">
        <f>I22*('Mijn spaartegoed'!D$17/100)</f>
        <v>0</v>
      </c>
      <c r="K22" s="151">
        <f t="shared" si="1"/>
        <v>0</v>
      </c>
      <c r="L22" s="148">
        <f>IF($B22,M21*$D$6,"")</f>
        <v>0</v>
      </c>
      <c r="M22" s="148">
        <f>IF($B22,M21+K22+L22,"")</f>
        <v>0</v>
      </c>
      <c r="N22" s="104">
        <f aca="true" t="shared" si="11" ref="N22:N53">IF($B22,N21+H22,"")</f>
        <v>0</v>
      </c>
      <c r="O22" s="104">
        <f>O21+I22</f>
        <v>0</v>
      </c>
      <c r="P22" s="105">
        <f aca="true" t="shared" si="12" ref="P22:P67">M22*D$8</f>
        <v>0</v>
      </c>
      <c r="Q22" s="105">
        <f aca="true" t="shared" si="13" ref="Q22:Q53">Q21+D$9</f>
        <v>390</v>
      </c>
      <c r="R22" s="105">
        <f aca="true" t="shared" si="14" ref="R22:R52">M22-P22</f>
        <v>0</v>
      </c>
      <c r="S22" s="105">
        <f aca="true" t="shared" si="15" ref="S22:S52">IF(P22=0,0,M22-(P22-Q22))</f>
        <v>0</v>
      </c>
      <c r="T22" s="229">
        <f aca="true" t="shared" si="16" ref="T22:T80">IF(F22=0,0,S22/F22)</f>
        <v>0</v>
      </c>
      <c r="U22" s="235">
        <f aca="true" t="shared" si="17" ref="U22:U80">O22*E22</f>
        <v>0</v>
      </c>
      <c r="V22" s="227">
        <f t="shared" si="2"/>
        <v>0</v>
      </c>
      <c r="W22" s="105">
        <f t="shared" si="3"/>
        <v>0</v>
      </c>
      <c r="X22" s="225">
        <f>+O22*E22</f>
        <v>0</v>
      </c>
      <c r="Y22" s="105">
        <f>J22*E26</f>
        <v>0</v>
      </c>
      <c r="Z22" s="223">
        <f>SUM(J18:J22)*E22</f>
        <v>0</v>
      </c>
      <c r="AA22" s="227">
        <f t="shared" si="4"/>
        <v>0</v>
      </c>
      <c r="AB22" s="105">
        <f aca="true" t="shared" si="18" ref="AB22:AB85">Z22-AA22</f>
        <v>0</v>
      </c>
      <c r="AC22" s="229">
        <f aca="true" t="shared" si="19" ref="AC22:AC85">IF(OR(J22=0,F22=0),0,AB22/F22)</f>
        <v>0</v>
      </c>
      <c r="AD22" s="228">
        <f>F22*('Mijn spaartegoed'!E$34/100)</f>
        <v>0</v>
      </c>
      <c r="AE22" s="238">
        <f t="shared" si="5"/>
        <v>0</v>
      </c>
    </row>
    <row r="23" spans="1:31" ht="12.75">
      <c r="A23" s="94">
        <f t="shared" si="6"/>
        <v>2012</v>
      </c>
      <c r="B23" s="94" t="b">
        <f t="shared" si="7"/>
        <v>1</v>
      </c>
      <c r="C23" s="94">
        <f t="shared" si="8"/>
        <v>112</v>
      </c>
      <c r="D23" s="119">
        <f>IF(H22=0,0,IF($B23,D22*(1+$D$5)*(1+VLOOKUP(C22,carriere!$A$2:$D$52,4)),""))</f>
        <v>0</v>
      </c>
      <c r="E23" s="105">
        <f t="shared" si="0"/>
        <v>0</v>
      </c>
      <c r="F23" s="105">
        <f t="shared" si="9"/>
        <v>0</v>
      </c>
      <c r="G23" s="103">
        <f t="shared" si="10"/>
        <v>0</v>
      </c>
      <c r="H23" s="218">
        <f>IF(OR(Rekenblad!B$35&lt;15,Rekenblad!B$35&gt;65),0,IF(Rekenblad!B$15,VLOOKUP(Rekenblad!B$35,Tabel_totaalrecht!A$6:AY$55,maatman!A23-2008,FALSE),VLOOKUP(Rekenblad!B$35,Tabel_basisrecht!A$6:AY$55,maatman!A23-2008,FALSE)))</f>
        <v>0</v>
      </c>
      <c r="I23" s="218">
        <f>H23*Rekenblad!B$24</f>
        <v>0</v>
      </c>
      <c r="J23" s="276">
        <f>I23*('Mijn spaartegoed'!D$17/100)</f>
        <v>0</v>
      </c>
      <c r="K23" s="151">
        <f t="shared" si="1"/>
        <v>0</v>
      </c>
      <c r="L23" s="148">
        <f aca="true" t="shared" si="20" ref="L23:L80">IF($B23,M22*$D$6,"")</f>
        <v>0</v>
      </c>
      <c r="M23" s="148">
        <f aca="true" t="shared" si="21" ref="M23:M80">IF($B23,M22+K23+L23,"")</f>
        <v>0</v>
      </c>
      <c r="N23" s="104">
        <f t="shared" si="11"/>
        <v>0</v>
      </c>
      <c r="O23" s="104">
        <f aca="true" t="shared" si="22" ref="O23:O80">O22+I23</f>
        <v>0</v>
      </c>
      <c r="P23" s="105">
        <f t="shared" si="12"/>
        <v>0</v>
      </c>
      <c r="Q23" s="105">
        <f t="shared" si="13"/>
        <v>585</v>
      </c>
      <c r="R23" s="105">
        <f t="shared" si="14"/>
        <v>0</v>
      </c>
      <c r="S23" s="105">
        <f t="shared" si="15"/>
        <v>0</v>
      </c>
      <c r="T23" s="229">
        <f t="shared" si="16"/>
        <v>0</v>
      </c>
      <c r="U23" s="235">
        <f t="shared" si="17"/>
        <v>0</v>
      </c>
      <c r="V23" s="227">
        <f t="shared" si="2"/>
        <v>0</v>
      </c>
      <c r="W23" s="105">
        <f t="shared" si="3"/>
        <v>0</v>
      </c>
      <c r="X23" s="225">
        <f>+N23*E23</f>
        <v>0</v>
      </c>
      <c r="Y23" s="105">
        <f aca="true" t="shared" si="23" ref="Y23:Y86">J23*E27</f>
        <v>0</v>
      </c>
      <c r="Z23" s="223">
        <f>SUM(J19:J23)*E23</f>
        <v>0</v>
      </c>
      <c r="AA23" s="227">
        <f t="shared" si="4"/>
        <v>0</v>
      </c>
      <c r="AB23" s="105">
        <f t="shared" si="18"/>
        <v>0</v>
      </c>
      <c r="AC23" s="229">
        <f t="shared" si="19"/>
        <v>0</v>
      </c>
      <c r="AD23" s="228">
        <f>F23*('Mijn spaartegoed'!E$34/100)</f>
        <v>0</v>
      </c>
      <c r="AE23" s="238">
        <f t="shared" si="5"/>
        <v>0</v>
      </c>
    </row>
    <row r="24" spans="1:31" ht="12.75">
      <c r="A24" s="94">
        <f t="shared" si="6"/>
        <v>2013</v>
      </c>
      <c r="B24" s="94" t="b">
        <f t="shared" si="7"/>
        <v>1</v>
      </c>
      <c r="C24" s="94">
        <f t="shared" si="8"/>
        <v>113</v>
      </c>
      <c r="D24" s="119">
        <f>IF(H23=0,0,IF($B24,D23*(1+$D$5)*(1+VLOOKUP(C23,carriere!$A$2:$D$52,4)),""))</f>
        <v>0</v>
      </c>
      <c r="E24" s="105">
        <f t="shared" si="0"/>
        <v>0</v>
      </c>
      <c r="F24" s="105">
        <f t="shared" si="9"/>
        <v>0</v>
      </c>
      <c r="G24" s="103">
        <f t="shared" si="10"/>
        <v>0</v>
      </c>
      <c r="H24" s="218">
        <f>IF(OR(Rekenblad!B$35&lt;15,Rekenblad!B$35&gt;65),0,IF(Rekenblad!B$15,VLOOKUP(Rekenblad!B$35,Tabel_totaalrecht!A$6:AY$55,maatman!A24-2008,FALSE),VLOOKUP(Rekenblad!B$35,Tabel_basisrecht!A$6:AY$55,maatman!A24-2008,FALSE)))</f>
        <v>0</v>
      </c>
      <c r="I24" s="218">
        <f>H24*Rekenblad!B$24</f>
        <v>0</v>
      </c>
      <c r="J24" s="276">
        <f>I24*('Mijn spaartegoed'!D$17/100)</f>
        <v>0</v>
      </c>
      <c r="K24" s="151">
        <f t="shared" si="1"/>
        <v>0</v>
      </c>
      <c r="L24" s="148">
        <f t="shared" si="20"/>
        <v>0</v>
      </c>
      <c r="M24" s="148">
        <f t="shared" si="21"/>
        <v>0</v>
      </c>
      <c r="N24" s="104">
        <f t="shared" si="11"/>
        <v>0</v>
      </c>
      <c r="O24" s="104">
        <f t="shared" si="22"/>
        <v>0</v>
      </c>
      <c r="P24" s="105">
        <f t="shared" si="12"/>
        <v>0</v>
      </c>
      <c r="Q24" s="105">
        <f t="shared" si="13"/>
        <v>780</v>
      </c>
      <c r="R24" s="105">
        <f t="shared" si="14"/>
        <v>0</v>
      </c>
      <c r="S24" s="105">
        <f t="shared" si="15"/>
        <v>0</v>
      </c>
      <c r="T24" s="229">
        <f t="shared" si="16"/>
        <v>0</v>
      </c>
      <c r="U24" s="235">
        <f t="shared" si="17"/>
        <v>0</v>
      </c>
      <c r="V24" s="227">
        <f t="shared" si="2"/>
        <v>0</v>
      </c>
      <c r="W24" s="105">
        <f t="shared" si="3"/>
        <v>0</v>
      </c>
      <c r="X24" s="225">
        <f>+N24*E24</f>
        <v>0</v>
      </c>
      <c r="Y24" s="105">
        <f t="shared" si="23"/>
        <v>0</v>
      </c>
      <c r="Z24" s="223">
        <f>SUM(J20:J24)*E24</f>
        <v>0</v>
      </c>
      <c r="AA24" s="227">
        <f t="shared" si="4"/>
        <v>0</v>
      </c>
      <c r="AB24" s="105">
        <f t="shared" si="18"/>
        <v>0</v>
      </c>
      <c r="AC24" s="229">
        <f t="shared" si="19"/>
        <v>0</v>
      </c>
      <c r="AD24" s="228">
        <f>F24*('Mijn spaartegoed'!E$34/100)</f>
        <v>0</v>
      </c>
      <c r="AE24" s="238">
        <f t="shared" si="5"/>
        <v>0</v>
      </c>
    </row>
    <row r="25" spans="1:31" ht="12.75">
      <c r="A25" s="94">
        <f t="shared" si="6"/>
        <v>2014</v>
      </c>
      <c r="B25" s="94" t="b">
        <f t="shared" si="7"/>
        <v>1</v>
      </c>
      <c r="C25" s="94">
        <f t="shared" si="8"/>
        <v>114</v>
      </c>
      <c r="D25" s="119">
        <f>IF(H24=0,0,IF($B25,D24*(1+$D$5)*(1+VLOOKUP(C24,carriere!$A$2:$D$52,4)),""))</f>
        <v>0</v>
      </c>
      <c r="E25" s="105">
        <f t="shared" si="0"/>
        <v>0</v>
      </c>
      <c r="F25" s="105">
        <f t="shared" si="9"/>
        <v>0</v>
      </c>
      <c r="G25" s="103">
        <f t="shared" si="10"/>
        <v>0</v>
      </c>
      <c r="H25" s="218">
        <f>IF(OR(Rekenblad!B$35&lt;15,Rekenblad!B$35&gt;65),0,IF(Rekenblad!B$15,VLOOKUP(Rekenblad!B$35,Tabel_totaalrecht!A$6:AY$55,maatman!A25-2008,FALSE),VLOOKUP(Rekenblad!B$35,Tabel_basisrecht!A$6:AY$55,maatman!A25-2008,FALSE)))</f>
        <v>0</v>
      </c>
      <c r="I25" s="218">
        <f>H25*Rekenblad!B$24</f>
        <v>0</v>
      </c>
      <c r="J25" s="276">
        <f>I25*('Mijn spaartegoed'!D$17/100)</f>
        <v>0</v>
      </c>
      <c r="K25" s="151">
        <f t="shared" si="1"/>
        <v>0</v>
      </c>
      <c r="L25" s="148">
        <f t="shared" si="20"/>
        <v>0</v>
      </c>
      <c r="M25" s="148">
        <f t="shared" si="21"/>
        <v>0</v>
      </c>
      <c r="N25" s="104">
        <f t="shared" si="11"/>
        <v>0</v>
      </c>
      <c r="O25" s="104">
        <f t="shared" si="22"/>
        <v>0</v>
      </c>
      <c r="P25" s="105">
        <f t="shared" si="12"/>
        <v>0</v>
      </c>
      <c r="Q25" s="105">
        <f t="shared" si="13"/>
        <v>975</v>
      </c>
      <c r="R25" s="105">
        <f t="shared" si="14"/>
        <v>0</v>
      </c>
      <c r="S25" s="105">
        <f t="shared" si="15"/>
        <v>0</v>
      </c>
      <c r="T25" s="229">
        <f t="shared" si="16"/>
        <v>0</v>
      </c>
      <c r="U25" s="235">
        <f t="shared" si="17"/>
        <v>0</v>
      </c>
      <c r="V25" s="227">
        <f t="shared" si="2"/>
        <v>0</v>
      </c>
      <c r="W25" s="105">
        <f t="shared" si="3"/>
        <v>0</v>
      </c>
      <c r="X25" s="225">
        <f>+N25*E25</f>
        <v>0</v>
      </c>
      <c r="Y25" s="105">
        <f t="shared" si="23"/>
        <v>0</v>
      </c>
      <c r="Z25" s="223">
        <f>SUM(J21:J25)*E25</f>
        <v>0</v>
      </c>
      <c r="AA25" s="227">
        <f t="shared" si="4"/>
        <v>0</v>
      </c>
      <c r="AB25" s="105">
        <f t="shared" si="18"/>
        <v>0</v>
      </c>
      <c r="AC25" s="229">
        <f t="shared" si="19"/>
        <v>0</v>
      </c>
      <c r="AD25" s="228">
        <f>F25*('Mijn spaartegoed'!E$34/100)</f>
        <v>0</v>
      </c>
      <c r="AE25" s="238">
        <f t="shared" si="5"/>
        <v>0</v>
      </c>
    </row>
    <row r="26" spans="1:31" ht="12.75">
      <c r="A26" s="94">
        <f t="shared" si="6"/>
        <v>2015</v>
      </c>
      <c r="B26" s="94" t="b">
        <f t="shared" si="7"/>
        <v>1</v>
      </c>
      <c r="C26" s="94">
        <f t="shared" si="8"/>
        <v>115</v>
      </c>
      <c r="D26" s="119">
        <f>IF(H25=0,0,IF($B26,D25*(1+$D$5)*(1+VLOOKUP(C25,carriere!$A$2:$D$52,4)),""))</f>
        <v>0</v>
      </c>
      <c r="E26" s="105">
        <f t="shared" si="0"/>
        <v>0</v>
      </c>
      <c r="F26" s="105">
        <f t="shared" si="9"/>
        <v>0</v>
      </c>
      <c r="G26" s="103">
        <f t="shared" si="10"/>
        <v>0</v>
      </c>
      <c r="H26" s="218">
        <f>IF(OR(Rekenblad!B$35&lt;15,Rekenblad!B$35&gt;65),0,IF(Rekenblad!B$15,VLOOKUP(Rekenblad!B$35,Tabel_totaalrecht!A$6:AY$55,maatman!A26-2008,FALSE),VLOOKUP(Rekenblad!B$35,Tabel_basisrecht!A$6:AY$55,maatman!A26-2008,FALSE)))</f>
        <v>0</v>
      </c>
      <c r="I26" s="218">
        <f>H26*Rekenblad!B$24</f>
        <v>0</v>
      </c>
      <c r="J26" s="276">
        <f>I26*('Mijn spaartegoed'!D$17/100)</f>
        <v>0</v>
      </c>
      <c r="K26" s="151">
        <f t="shared" si="1"/>
        <v>0</v>
      </c>
      <c r="L26" s="148">
        <f t="shared" si="20"/>
        <v>0</v>
      </c>
      <c r="M26" s="148">
        <f t="shared" si="21"/>
        <v>0</v>
      </c>
      <c r="N26" s="104">
        <f t="shared" si="11"/>
        <v>0</v>
      </c>
      <c r="O26" s="104">
        <f t="shared" si="22"/>
        <v>0</v>
      </c>
      <c r="P26" s="105">
        <f t="shared" si="12"/>
        <v>0</v>
      </c>
      <c r="Q26" s="105">
        <f t="shared" si="13"/>
        <v>1170</v>
      </c>
      <c r="R26" s="105">
        <f t="shared" si="14"/>
        <v>0</v>
      </c>
      <c r="S26" s="105">
        <f t="shared" si="15"/>
        <v>0</v>
      </c>
      <c r="T26" s="229">
        <f t="shared" si="16"/>
        <v>0</v>
      </c>
      <c r="U26" s="235">
        <f t="shared" si="17"/>
        <v>0</v>
      </c>
      <c r="V26" s="227">
        <f t="shared" si="2"/>
        <v>0</v>
      </c>
      <c r="W26" s="105">
        <f t="shared" si="3"/>
        <v>0</v>
      </c>
      <c r="X26" s="226">
        <f>+(SUM(J22:J26)*E26+(J21*E25))</f>
        <v>0</v>
      </c>
      <c r="Y26" s="105">
        <f t="shared" si="23"/>
        <v>0</v>
      </c>
      <c r="Z26" s="223">
        <f>IF(Rekenblad!B35&gt;=50,SUM(J21:J26)*E26,(SUM(J22:J26)*E26)+Y21)</f>
        <v>0</v>
      </c>
      <c r="AA26" s="227">
        <f t="shared" si="4"/>
        <v>0</v>
      </c>
      <c r="AB26" s="105">
        <f t="shared" si="18"/>
        <v>0</v>
      </c>
      <c r="AC26" s="229">
        <f t="shared" si="19"/>
        <v>0</v>
      </c>
      <c r="AD26" s="228">
        <f>F26*('Mijn spaartegoed'!E$34/100)</f>
        <v>0</v>
      </c>
      <c r="AE26" s="238">
        <f t="shared" si="5"/>
        <v>0</v>
      </c>
    </row>
    <row r="27" spans="1:31" ht="12.75">
      <c r="A27" s="94">
        <f t="shared" si="6"/>
        <v>2016</v>
      </c>
      <c r="B27" s="94" t="b">
        <f t="shared" si="7"/>
        <v>1</v>
      </c>
      <c r="C27" s="94">
        <f t="shared" si="8"/>
        <v>116</v>
      </c>
      <c r="D27" s="119">
        <f>IF(H26=0,0,IF($B27,D26*(1+$D$5)*(1+VLOOKUP(C26,carriere!$A$2:$D$52,4)),""))</f>
        <v>0</v>
      </c>
      <c r="E27" s="105">
        <f t="shared" si="0"/>
        <v>0</v>
      </c>
      <c r="F27" s="105">
        <f t="shared" si="9"/>
        <v>0</v>
      </c>
      <c r="G27" s="103">
        <f t="shared" si="10"/>
        <v>0</v>
      </c>
      <c r="H27" s="218">
        <f>IF(OR(Rekenblad!B$35&lt;15,Rekenblad!B$35&gt;65),0,IF(Rekenblad!B$15,VLOOKUP(Rekenblad!B$35,Tabel_totaalrecht!A$6:AY$55,maatman!A27-2008,FALSE),VLOOKUP(Rekenblad!B$35,Tabel_basisrecht!A$6:AY$55,maatman!A27-2008,FALSE)))</f>
        <v>0</v>
      </c>
      <c r="I27" s="218">
        <f>H27*Rekenblad!B$24</f>
        <v>0</v>
      </c>
      <c r="J27" s="276">
        <f>I27*('Mijn spaartegoed'!D$17/100)</f>
        <v>0</v>
      </c>
      <c r="K27" s="151">
        <f t="shared" si="1"/>
        <v>0</v>
      </c>
      <c r="L27" s="148">
        <f t="shared" si="20"/>
        <v>0</v>
      </c>
      <c r="M27" s="148">
        <f t="shared" si="21"/>
        <v>0</v>
      </c>
      <c r="N27" s="104">
        <f t="shared" si="11"/>
        <v>0</v>
      </c>
      <c r="O27" s="104">
        <f t="shared" si="22"/>
        <v>0</v>
      </c>
      <c r="P27" s="105">
        <f t="shared" si="12"/>
        <v>0</v>
      </c>
      <c r="Q27" s="105">
        <f t="shared" si="13"/>
        <v>1365</v>
      </c>
      <c r="R27" s="105">
        <f t="shared" si="14"/>
        <v>0</v>
      </c>
      <c r="S27" s="105">
        <f t="shared" si="15"/>
        <v>0</v>
      </c>
      <c r="T27" s="229">
        <f t="shared" si="16"/>
        <v>0</v>
      </c>
      <c r="U27" s="235">
        <f t="shared" si="17"/>
        <v>0</v>
      </c>
      <c r="V27" s="227">
        <f t="shared" si="2"/>
        <v>0</v>
      </c>
      <c r="W27" s="105">
        <f t="shared" si="3"/>
        <v>0</v>
      </c>
      <c r="X27" s="226">
        <f>+(SUM(J23:J27)*E27+(J22*E26)+(J21*E25))</f>
        <v>0</v>
      </c>
      <c r="Y27" s="105">
        <f t="shared" si="23"/>
        <v>0</v>
      </c>
      <c r="Z27" s="223">
        <f>IF(Rekenblad!B35&gt;=50,SUM(J21:J27)*E27,(SUM(J23:J27)*E27)+(SUM(Y$21:Y22)))</f>
        <v>0</v>
      </c>
      <c r="AA27" s="227">
        <f t="shared" si="4"/>
        <v>0</v>
      </c>
      <c r="AB27" s="105">
        <f t="shared" si="18"/>
        <v>0</v>
      </c>
      <c r="AC27" s="229">
        <f t="shared" si="19"/>
        <v>0</v>
      </c>
      <c r="AD27" s="228">
        <f>F27*('Mijn spaartegoed'!E$34/100)</f>
        <v>0</v>
      </c>
      <c r="AE27" s="238">
        <f t="shared" si="5"/>
        <v>0</v>
      </c>
    </row>
    <row r="28" spans="1:31" ht="12.75">
      <c r="A28" s="94">
        <f t="shared" si="6"/>
        <v>2017</v>
      </c>
      <c r="B28" s="94" t="b">
        <f t="shared" si="7"/>
        <v>1</v>
      </c>
      <c r="C28" s="94">
        <f t="shared" si="8"/>
        <v>117</v>
      </c>
      <c r="D28" s="119">
        <f>IF(H27=0,0,IF($B28,D27*(1+$D$5)*(1+VLOOKUP(C27,carriere!$A$2:$D$52,4)),""))</f>
        <v>0</v>
      </c>
      <c r="E28" s="105">
        <f t="shared" si="0"/>
        <v>0</v>
      </c>
      <c r="F28" s="105">
        <f t="shared" si="9"/>
        <v>0</v>
      </c>
      <c r="G28" s="103">
        <f t="shared" si="10"/>
        <v>0</v>
      </c>
      <c r="H28" s="218">
        <f>IF(OR(Rekenblad!B$35&lt;15,Rekenblad!B$35&gt;65),0,IF(Rekenblad!B$15,VLOOKUP(Rekenblad!B$35,Tabel_totaalrecht!A$6:AY$55,maatman!A28-2008,FALSE),VLOOKUP(Rekenblad!B$35,Tabel_basisrecht!A$6:AY$55,maatman!A28-2008,FALSE)))</f>
        <v>0</v>
      </c>
      <c r="I28" s="218">
        <f>H28*Rekenblad!B$24</f>
        <v>0</v>
      </c>
      <c r="J28" s="276">
        <f>I28*('Mijn spaartegoed'!D$17/100)</f>
        <v>0</v>
      </c>
      <c r="K28" s="151">
        <f t="shared" si="1"/>
        <v>0</v>
      </c>
      <c r="L28" s="148">
        <f t="shared" si="20"/>
        <v>0</v>
      </c>
      <c r="M28" s="148">
        <f t="shared" si="21"/>
        <v>0</v>
      </c>
      <c r="N28" s="104">
        <f t="shared" si="11"/>
        <v>0</v>
      </c>
      <c r="O28" s="104">
        <f t="shared" si="22"/>
        <v>0</v>
      </c>
      <c r="P28" s="105">
        <f t="shared" si="12"/>
        <v>0</v>
      </c>
      <c r="Q28" s="105">
        <f t="shared" si="13"/>
        <v>1560</v>
      </c>
      <c r="R28" s="105">
        <f t="shared" si="14"/>
        <v>0</v>
      </c>
      <c r="S28" s="105">
        <f t="shared" si="15"/>
        <v>0</v>
      </c>
      <c r="T28" s="229">
        <f t="shared" si="16"/>
        <v>0</v>
      </c>
      <c r="U28" s="235">
        <f t="shared" si="17"/>
        <v>0</v>
      </c>
      <c r="V28" s="227">
        <f t="shared" si="2"/>
        <v>0</v>
      </c>
      <c r="W28" s="105">
        <f t="shared" si="3"/>
        <v>0</v>
      </c>
      <c r="X28" s="226">
        <f>+(SUM(J24:J28)*E28+(J23*E27)+(J22*E26)+(J21*E25))</f>
        <v>0</v>
      </c>
      <c r="Y28" s="105">
        <f t="shared" si="23"/>
        <v>0</v>
      </c>
      <c r="Z28" s="223">
        <f>IF(Rekenblad!B35&gt;=50,SUM(J$21:J28)*E28,(SUM(J24:J28)*E28)+(SUM(Y$21:Y23)))</f>
        <v>0</v>
      </c>
      <c r="AA28" s="227">
        <f t="shared" si="4"/>
        <v>0</v>
      </c>
      <c r="AB28" s="105">
        <f t="shared" si="18"/>
        <v>0</v>
      </c>
      <c r="AC28" s="229">
        <f t="shared" si="19"/>
        <v>0</v>
      </c>
      <c r="AD28" s="228">
        <f>F28*('Mijn spaartegoed'!E$34/100)</f>
        <v>0</v>
      </c>
      <c r="AE28" s="238">
        <f t="shared" si="5"/>
        <v>0</v>
      </c>
    </row>
    <row r="29" spans="1:31" ht="12.75">
      <c r="A29" s="94">
        <f t="shared" si="6"/>
        <v>2018</v>
      </c>
      <c r="B29" s="94" t="b">
        <f t="shared" si="7"/>
        <v>1</v>
      </c>
      <c r="C29" s="94">
        <f t="shared" si="8"/>
        <v>118</v>
      </c>
      <c r="D29" s="119">
        <f>IF(H28=0,0,IF($B29,D28*(1+$D$5)*(1+VLOOKUP(C28,carriere!$A$2:$D$52,4)),""))</f>
        <v>0</v>
      </c>
      <c r="E29" s="105">
        <f t="shared" si="0"/>
        <v>0</v>
      </c>
      <c r="F29" s="105">
        <f t="shared" si="9"/>
        <v>0</v>
      </c>
      <c r="G29" s="103">
        <f t="shared" si="10"/>
        <v>0</v>
      </c>
      <c r="H29" s="218">
        <f>IF(OR(Rekenblad!B$35&lt;15,Rekenblad!B$35&gt;65),0,IF(Rekenblad!B$15,VLOOKUP(Rekenblad!B$35,Tabel_totaalrecht!A$6:AY$55,maatman!A29-2008,FALSE),VLOOKUP(Rekenblad!B$35,Tabel_basisrecht!A$6:AY$55,maatman!A29-2008,FALSE)))</f>
        <v>0</v>
      </c>
      <c r="I29" s="218">
        <f>H29*Rekenblad!B$24</f>
        <v>0</v>
      </c>
      <c r="J29" s="276">
        <f>I29*('Mijn spaartegoed'!D$17/100)</f>
        <v>0</v>
      </c>
      <c r="K29" s="151">
        <f t="shared" si="1"/>
        <v>0</v>
      </c>
      <c r="L29" s="148">
        <f t="shared" si="20"/>
        <v>0</v>
      </c>
      <c r="M29" s="148">
        <f t="shared" si="21"/>
        <v>0</v>
      </c>
      <c r="N29" s="104">
        <f t="shared" si="11"/>
        <v>0</v>
      </c>
      <c r="O29" s="104">
        <f t="shared" si="22"/>
        <v>0</v>
      </c>
      <c r="P29" s="105">
        <f t="shared" si="12"/>
        <v>0</v>
      </c>
      <c r="Q29" s="105">
        <f t="shared" si="13"/>
        <v>1755</v>
      </c>
      <c r="R29" s="105">
        <f t="shared" si="14"/>
        <v>0</v>
      </c>
      <c r="S29" s="105">
        <f t="shared" si="15"/>
        <v>0</v>
      </c>
      <c r="T29" s="229">
        <f t="shared" si="16"/>
        <v>0</v>
      </c>
      <c r="U29" s="235">
        <f t="shared" si="17"/>
        <v>0</v>
      </c>
      <c r="V29" s="227">
        <f t="shared" si="2"/>
        <v>0</v>
      </c>
      <c r="W29" s="105">
        <f t="shared" si="3"/>
        <v>0</v>
      </c>
      <c r="X29" s="226">
        <f>+(SUM(J25:J29)*E29+(J24*E28)+(J23*E27)+(J22*E26)+(J21*E25))</f>
        <v>0</v>
      </c>
      <c r="Y29" s="105">
        <f t="shared" si="23"/>
        <v>0</v>
      </c>
      <c r="Z29" s="223">
        <f>IF(Rekenblad!B36&gt;=50,SUM(J$21:J29)*E29,(SUM(J25:J29)*E29)+(SUM(Y$21:Y24)))</f>
        <v>0</v>
      </c>
      <c r="AA29" s="227">
        <f t="shared" si="4"/>
        <v>0</v>
      </c>
      <c r="AB29" s="105">
        <f t="shared" si="18"/>
        <v>0</v>
      </c>
      <c r="AC29" s="229">
        <f t="shared" si="19"/>
        <v>0</v>
      </c>
      <c r="AD29" s="228">
        <f>F29*('Mijn spaartegoed'!E$34/100)</f>
        <v>0</v>
      </c>
      <c r="AE29" s="238">
        <f t="shared" si="5"/>
        <v>0</v>
      </c>
    </row>
    <row r="30" spans="1:31" ht="12.75">
      <c r="A30" s="94">
        <f t="shared" si="6"/>
        <v>2019</v>
      </c>
      <c r="B30" s="94" t="b">
        <f t="shared" si="7"/>
        <v>1</v>
      </c>
      <c r="C30" s="94">
        <f t="shared" si="8"/>
        <v>119</v>
      </c>
      <c r="D30" s="119">
        <f>IF(H29=0,0,IF($B30,D29*(1+$D$5)*(1+VLOOKUP(C29,carriere!$A$2:$D$52,4)),""))</f>
        <v>0</v>
      </c>
      <c r="E30" s="105">
        <f t="shared" si="0"/>
        <v>0</v>
      </c>
      <c r="F30" s="105">
        <f t="shared" si="9"/>
        <v>0</v>
      </c>
      <c r="G30" s="103">
        <f t="shared" si="10"/>
        <v>0</v>
      </c>
      <c r="H30" s="218">
        <f>IF(OR(Rekenblad!B$35&lt;15,Rekenblad!B$35&gt;65),0,IF(Rekenblad!B$15,VLOOKUP(Rekenblad!B$35,Tabel_totaalrecht!A$6:AY$55,maatman!A30-2008,FALSE),VLOOKUP(Rekenblad!B$35,Tabel_basisrecht!A$6:AY$55,maatman!A30-2008,FALSE)))</f>
        <v>0</v>
      </c>
      <c r="I30" s="218">
        <f>H30*Rekenblad!B$24</f>
        <v>0</v>
      </c>
      <c r="J30" s="276">
        <f>I30*('Mijn spaartegoed'!D$17/100)</f>
        <v>0</v>
      </c>
      <c r="K30" s="151">
        <f t="shared" si="1"/>
        <v>0</v>
      </c>
      <c r="L30" s="148">
        <f t="shared" si="20"/>
        <v>0</v>
      </c>
      <c r="M30" s="148">
        <f t="shared" si="21"/>
        <v>0</v>
      </c>
      <c r="N30" s="104">
        <f t="shared" si="11"/>
        <v>0</v>
      </c>
      <c r="O30" s="104">
        <f t="shared" si="22"/>
        <v>0</v>
      </c>
      <c r="P30" s="105">
        <f t="shared" si="12"/>
        <v>0</v>
      </c>
      <c r="Q30" s="105">
        <f t="shared" si="13"/>
        <v>1950</v>
      </c>
      <c r="R30" s="105">
        <f t="shared" si="14"/>
        <v>0</v>
      </c>
      <c r="S30" s="105">
        <f t="shared" si="15"/>
        <v>0</v>
      </c>
      <c r="T30" s="229">
        <f t="shared" si="16"/>
        <v>0</v>
      </c>
      <c r="U30" s="235">
        <f t="shared" si="17"/>
        <v>0</v>
      </c>
      <c r="V30" s="227">
        <f t="shared" si="2"/>
        <v>0</v>
      </c>
      <c r="W30" s="105">
        <f t="shared" si="3"/>
        <v>0</v>
      </c>
      <c r="X30" s="226">
        <f>+(SUM(J26:J30)*E30+(J25*E29)+(J24*E28)+(J23*E27)+(J22*E26)+(J21*E25))</f>
        <v>0</v>
      </c>
      <c r="Y30" s="105">
        <f t="shared" si="23"/>
        <v>0</v>
      </c>
      <c r="Z30" s="223">
        <f>IF(Rekenblad!B37&gt;=50,SUM(J$21:J30)*E30,(SUM(J26:J30)*E30)+(SUM(Y$21:Y25)))</f>
        <v>0</v>
      </c>
      <c r="AA30" s="227">
        <f t="shared" si="4"/>
        <v>0</v>
      </c>
      <c r="AB30" s="105">
        <f t="shared" si="18"/>
        <v>0</v>
      </c>
      <c r="AC30" s="229">
        <f t="shared" si="19"/>
        <v>0</v>
      </c>
      <c r="AD30" s="228">
        <f>F30*('Mijn spaartegoed'!E$34/100)</f>
        <v>0</v>
      </c>
      <c r="AE30" s="238">
        <f t="shared" si="5"/>
        <v>0</v>
      </c>
    </row>
    <row r="31" spans="1:31" ht="12.75">
      <c r="A31" s="94">
        <f t="shared" si="6"/>
        <v>2020</v>
      </c>
      <c r="B31" s="94" t="b">
        <f t="shared" si="7"/>
        <v>1</v>
      </c>
      <c r="C31" s="94">
        <f t="shared" si="8"/>
        <v>120</v>
      </c>
      <c r="D31" s="119">
        <f>IF(H30=0,0,IF($B31,D30*(1+$D$5)*(1+VLOOKUP(C30,carriere!$A$2:$D$52,4)),""))</f>
        <v>0</v>
      </c>
      <c r="E31" s="105">
        <f t="shared" si="0"/>
        <v>0</v>
      </c>
      <c r="F31" s="105">
        <f t="shared" si="9"/>
        <v>0</v>
      </c>
      <c r="G31" s="103">
        <f t="shared" si="10"/>
        <v>0</v>
      </c>
      <c r="H31" s="218">
        <f>IF(OR(Rekenblad!B$35&lt;15,Rekenblad!B$35&gt;65),0,IF(Rekenblad!B$15,VLOOKUP(Rekenblad!B$35,Tabel_totaalrecht!A$6:AY$55,maatman!A31-2008,FALSE),VLOOKUP(Rekenblad!B$35,Tabel_basisrecht!A$6:AY$55,maatman!A31-2008,FALSE)))</f>
        <v>0</v>
      </c>
      <c r="I31" s="218">
        <f>H31*Rekenblad!B$24</f>
        <v>0</v>
      </c>
      <c r="J31" s="276">
        <f>I31*('Mijn spaartegoed'!D$17/100)</f>
        <v>0</v>
      </c>
      <c r="K31" s="151">
        <f t="shared" si="1"/>
        <v>0</v>
      </c>
      <c r="L31" s="148">
        <f t="shared" si="20"/>
        <v>0</v>
      </c>
      <c r="M31" s="148">
        <f t="shared" si="21"/>
        <v>0</v>
      </c>
      <c r="N31" s="104">
        <f t="shared" si="11"/>
        <v>0</v>
      </c>
      <c r="O31" s="104">
        <f t="shared" si="22"/>
        <v>0</v>
      </c>
      <c r="P31" s="105">
        <f t="shared" si="12"/>
        <v>0</v>
      </c>
      <c r="Q31" s="105">
        <f t="shared" si="13"/>
        <v>2145</v>
      </c>
      <c r="R31" s="105">
        <f t="shared" si="14"/>
        <v>0</v>
      </c>
      <c r="S31" s="105">
        <f t="shared" si="15"/>
        <v>0</v>
      </c>
      <c r="T31" s="229">
        <f t="shared" si="16"/>
        <v>0</v>
      </c>
      <c r="U31" s="235">
        <f t="shared" si="17"/>
        <v>0</v>
      </c>
      <c r="V31" s="227">
        <f t="shared" si="2"/>
        <v>0</v>
      </c>
      <c r="W31" s="105">
        <f t="shared" si="3"/>
        <v>0</v>
      </c>
      <c r="X31" s="226">
        <f>+(SUM(J27:J31)*E31+(J26*E30)+(J25*E29)+(J24*E28)+(J23*E27)+(J22*E26)+(J21*E25))</f>
        <v>0</v>
      </c>
      <c r="Y31" s="105">
        <f t="shared" si="23"/>
        <v>0</v>
      </c>
      <c r="Z31" s="223">
        <f>IF(Rekenblad!B38&gt;=50,SUM(J$21:J31)*E31,(SUM(J27:J31)*E31)+(SUM(Y$21:Y26)))</f>
        <v>0</v>
      </c>
      <c r="AA31" s="227">
        <f t="shared" si="4"/>
        <v>0</v>
      </c>
      <c r="AB31" s="105">
        <f t="shared" si="18"/>
        <v>0</v>
      </c>
      <c r="AC31" s="229">
        <f t="shared" si="19"/>
        <v>0</v>
      </c>
      <c r="AD31" s="228">
        <f>F31*('Mijn spaartegoed'!E$34/100)</f>
        <v>0</v>
      </c>
      <c r="AE31" s="238">
        <f t="shared" si="5"/>
        <v>0</v>
      </c>
    </row>
    <row r="32" spans="1:31" ht="12.75">
      <c r="A32" s="94">
        <f t="shared" si="6"/>
        <v>2021</v>
      </c>
      <c r="B32" s="94" t="b">
        <f t="shared" si="7"/>
        <v>1</v>
      </c>
      <c r="C32" s="94">
        <f t="shared" si="8"/>
        <v>121</v>
      </c>
      <c r="D32" s="119">
        <f>IF(H31=0,0,IF($B32,D31*(1+$D$5)*(1+VLOOKUP(C31,carriere!$A$2:$D$52,4)),""))</f>
        <v>0</v>
      </c>
      <c r="E32" s="105">
        <f t="shared" si="0"/>
        <v>0</v>
      </c>
      <c r="F32" s="105">
        <f t="shared" si="9"/>
        <v>0</v>
      </c>
      <c r="G32" s="103">
        <f t="shared" si="10"/>
        <v>0</v>
      </c>
      <c r="H32" s="218">
        <f>IF(OR(Rekenblad!B$35&lt;15,Rekenblad!B$35&gt;65),0,IF(Rekenblad!B$15,VLOOKUP(Rekenblad!B$35,Tabel_totaalrecht!A$6:AY$55,maatman!A32-2008,FALSE),VLOOKUP(Rekenblad!B$35,Tabel_basisrecht!A$6:AY$55,maatman!A32-2008,FALSE)))</f>
        <v>0</v>
      </c>
      <c r="I32" s="218">
        <f>H32*Rekenblad!B$24</f>
        <v>0</v>
      </c>
      <c r="J32" s="276">
        <f>I32*('Mijn spaartegoed'!D$17/100)</f>
        <v>0</v>
      </c>
      <c r="K32" s="151">
        <f t="shared" si="1"/>
        <v>0</v>
      </c>
      <c r="L32" s="148">
        <f t="shared" si="20"/>
        <v>0</v>
      </c>
      <c r="M32" s="148">
        <f t="shared" si="21"/>
        <v>0</v>
      </c>
      <c r="N32" s="104">
        <f t="shared" si="11"/>
        <v>0</v>
      </c>
      <c r="O32" s="104">
        <f t="shared" si="22"/>
        <v>0</v>
      </c>
      <c r="P32" s="105">
        <f t="shared" si="12"/>
        <v>0</v>
      </c>
      <c r="Q32" s="105">
        <f t="shared" si="13"/>
        <v>2340</v>
      </c>
      <c r="R32" s="105">
        <f t="shared" si="14"/>
        <v>0</v>
      </c>
      <c r="S32" s="105">
        <f t="shared" si="15"/>
        <v>0</v>
      </c>
      <c r="T32" s="229">
        <f t="shared" si="16"/>
        <v>0</v>
      </c>
      <c r="U32" s="235">
        <f t="shared" si="17"/>
        <v>0</v>
      </c>
      <c r="V32" s="227">
        <f t="shared" si="2"/>
        <v>0</v>
      </c>
      <c r="W32" s="105">
        <f t="shared" si="3"/>
        <v>0</v>
      </c>
      <c r="X32" s="226">
        <f>+(SUM(J28:J32)*E32+(J27*E31)+(J26*E30)+(J25*E29)+(J24*E28)+(J23*E27)+(J22*E26)+(J21*E25))</f>
        <v>0</v>
      </c>
      <c r="Y32" s="105">
        <f t="shared" si="23"/>
        <v>0</v>
      </c>
      <c r="Z32" s="223">
        <f>IF(Rekenblad!B39&gt;=50,SUM(J$21:J32)*E32,(SUM(J28:J32)*E32)+(SUM(Y$21:Y27)))</f>
        <v>0</v>
      </c>
      <c r="AA32" s="227">
        <f t="shared" si="4"/>
        <v>0</v>
      </c>
      <c r="AB32" s="105">
        <f t="shared" si="18"/>
        <v>0</v>
      </c>
      <c r="AC32" s="229">
        <f t="shared" si="19"/>
        <v>0</v>
      </c>
      <c r="AD32" s="228">
        <f>F32*('Mijn spaartegoed'!E$34/100)</f>
        <v>0</v>
      </c>
      <c r="AE32" s="238">
        <f t="shared" si="5"/>
        <v>0</v>
      </c>
    </row>
    <row r="33" spans="1:31" ht="12.75">
      <c r="A33" s="94">
        <f t="shared" si="6"/>
        <v>2022</v>
      </c>
      <c r="B33" s="94" t="b">
        <f t="shared" si="7"/>
        <v>1</v>
      </c>
      <c r="C33" s="94">
        <f t="shared" si="8"/>
        <v>122</v>
      </c>
      <c r="D33" s="119">
        <f>IF(H32=0,0,IF($B33,D32*(1+$D$5)*(1+VLOOKUP(C32,carriere!$A$2:$D$52,4)),""))</f>
        <v>0</v>
      </c>
      <c r="E33" s="105">
        <f t="shared" si="0"/>
        <v>0</v>
      </c>
      <c r="F33" s="105">
        <f t="shared" si="9"/>
        <v>0</v>
      </c>
      <c r="G33" s="103">
        <f t="shared" si="10"/>
        <v>0</v>
      </c>
      <c r="H33" s="218">
        <f>IF(OR(Rekenblad!B$35&lt;15,Rekenblad!B$35&gt;65),0,IF(Rekenblad!B$15,VLOOKUP(Rekenblad!B$35,Tabel_totaalrecht!A$6:AY$55,maatman!A33-2008,FALSE),VLOOKUP(Rekenblad!B$35,Tabel_basisrecht!A$6:AY$55,maatman!A33-2008,FALSE)))</f>
        <v>0</v>
      </c>
      <c r="I33" s="218">
        <f>H33*Rekenblad!B$24</f>
        <v>0</v>
      </c>
      <c r="J33" s="276">
        <f>I33*('Mijn spaartegoed'!D$17/100)</f>
        <v>0</v>
      </c>
      <c r="K33" s="151">
        <f t="shared" si="1"/>
        <v>0</v>
      </c>
      <c r="L33" s="148">
        <f t="shared" si="20"/>
        <v>0</v>
      </c>
      <c r="M33" s="148">
        <f t="shared" si="21"/>
        <v>0</v>
      </c>
      <c r="N33" s="104">
        <f t="shared" si="11"/>
        <v>0</v>
      </c>
      <c r="O33" s="104">
        <f t="shared" si="22"/>
        <v>0</v>
      </c>
      <c r="P33" s="105">
        <f t="shared" si="12"/>
        <v>0</v>
      </c>
      <c r="Q33" s="105">
        <f t="shared" si="13"/>
        <v>2535</v>
      </c>
      <c r="R33" s="105">
        <f t="shared" si="14"/>
        <v>0</v>
      </c>
      <c r="S33" s="105">
        <f t="shared" si="15"/>
        <v>0</v>
      </c>
      <c r="T33" s="229">
        <f t="shared" si="16"/>
        <v>0</v>
      </c>
      <c r="U33" s="235">
        <f t="shared" si="17"/>
        <v>0</v>
      </c>
      <c r="V33" s="227">
        <f t="shared" si="2"/>
        <v>0</v>
      </c>
      <c r="W33" s="105">
        <f t="shared" si="3"/>
        <v>0</v>
      </c>
      <c r="X33" s="226">
        <f>+(SUM(J29:J33)*E33+(J28*E32)+(J27*E31)+(J26*E30)+(J25*E29)+(J24*E28)+(J23*E27)+(J22*E26)+(J21*E25))</f>
        <v>0</v>
      </c>
      <c r="Y33" s="105">
        <f t="shared" si="23"/>
        <v>0</v>
      </c>
      <c r="Z33" s="223">
        <f>IF(Rekenblad!B40&gt;=50,SUM(J$21:J33)*E33,(SUM(J29:J33)*E33)+(SUM(Y$21:Y28)))</f>
        <v>0</v>
      </c>
      <c r="AA33" s="227">
        <f t="shared" si="4"/>
        <v>0</v>
      </c>
      <c r="AB33" s="105">
        <f t="shared" si="18"/>
        <v>0</v>
      </c>
      <c r="AC33" s="229">
        <f t="shared" si="19"/>
        <v>0</v>
      </c>
      <c r="AD33" s="228">
        <f>F33*('Mijn spaartegoed'!E$34/100)</f>
        <v>0</v>
      </c>
      <c r="AE33" s="238">
        <f t="shared" si="5"/>
        <v>0</v>
      </c>
    </row>
    <row r="34" spans="1:31" ht="12.75">
      <c r="A34" s="94">
        <f t="shared" si="6"/>
        <v>2023</v>
      </c>
      <c r="B34" s="94" t="b">
        <f t="shared" si="7"/>
        <v>1</v>
      </c>
      <c r="C34" s="94">
        <f t="shared" si="8"/>
        <v>123</v>
      </c>
      <c r="D34" s="119">
        <f>IF(H33=0,0,IF($B34,D33*(1+$D$5)*(1+VLOOKUP(C33,carriere!$A$2:$D$52,4)),""))</f>
        <v>0</v>
      </c>
      <c r="E34" s="105">
        <f t="shared" si="0"/>
        <v>0</v>
      </c>
      <c r="F34" s="105">
        <f t="shared" si="9"/>
        <v>0</v>
      </c>
      <c r="G34" s="103">
        <f t="shared" si="10"/>
        <v>0</v>
      </c>
      <c r="H34" s="218">
        <f>IF(OR(Rekenblad!B$35&lt;15,Rekenblad!B$35&gt;65),0,IF(Rekenblad!B$15,VLOOKUP(Rekenblad!B$35,Tabel_totaalrecht!A$6:AY$55,maatman!A34-2008,FALSE),VLOOKUP(Rekenblad!B$35,Tabel_basisrecht!A$6:AY$55,maatman!A34-2008,FALSE)))</f>
        <v>0</v>
      </c>
      <c r="I34" s="218">
        <f>H34*Rekenblad!B$24</f>
        <v>0</v>
      </c>
      <c r="J34" s="276">
        <f>I34*('Mijn spaartegoed'!D$17/100)</f>
        <v>0</v>
      </c>
      <c r="K34" s="151">
        <f t="shared" si="1"/>
        <v>0</v>
      </c>
      <c r="L34" s="148">
        <f t="shared" si="20"/>
        <v>0</v>
      </c>
      <c r="M34" s="148">
        <f t="shared" si="21"/>
        <v>0</v>
      </c>
      <c r="N34" s="104">
        <f t="shared" si="11"/>
        <v>0</v>
      </c>
      <c r="O34" s="104">
        <f t="shared" si="22"/>
        <v>0</v>
      </c>
      <c r="P34" s="105">
        <f t="shared" si="12"/>
        <v>0</v>
      </c>
      <c r="Q34" s="105">
        <f t="shared" si="13"/>
        <v>2730</v>
      </c>
      <c r="R34" s="105">
        <f t="shared" si="14"/>
        <v>0</v>
      </c>
      <c r="S34" s="105">
        <f t="shared" si="15"/>
        <v>0</v>
      </c>
      <c r="T34" s="229">
        <f t="shared" si="16"/>
        <v>0</v>
      </c>
      <c r="U34" s="235">
        <f t="shared" si="17"/>
        <v>0</v>
      </c>
      <c r="V34" s="227">
        <f t="shared" si="2"/>
        <v>0</v>
      </c>
      <c r="W34" s="105">
        <f t="shared" si="3"/>
        <v>0</v>
      </c>
      <c r="X34" s="226">
        <f>+(SUM(J30:J34)*E34+(J29*E33)+(J28*E32)+(J27*E31)+(J26*E30)+(J25*E29)+(J24*E28)+(J23*E27)+(J22*E26)+(J21*E25))</f>
        <v>0</v>
      </c>
      <c r="Y34" s="105">
        <f t="shared" si="23"/>
        <v>0</v>
      </c>
      <c r="Z34" s="223">
        <f>IF(Rekenblad!B41&gt;=50,SUM(J$21:J34)*E34,(SUM(J30:J34)*E34)+(SUM(Y$21:Y29)))</f>
        <v>0</v>
      </c>
      <c r="AA34" s="227">
        <f t="shared" si="4"/>
        <v>0</v>
      </c>
      <c r="AB34" s="105">
        <f t="shared" si="18"/>
        <v>0</v>
      </c>
      <c r="AC34" s="229">
        <f t="shared" si="19"/>
        <v>0</v>
      </c>
      <c r="AD34" s="228">
        <f>F34*('Mijn spaartegoed'!E$34/100)</f>
        <v>0</v>
      </c>
      <c r="AE34" s="238">
        <f t="shared" si="5"/>
        <v>0</v>
      </c>
    </row>
    <row r="35" spans="1:31" ht="12.75">
      <c r="A35" s="94">
        <f t="shared" si="6"/>
        <v>2024</v>
      </c>
      <c r="B35" s="94" t="b">
        <f t="shared" si="7"/>
        <v>1</v>
      </c>
      <c r="C35" s="94">
        <f t="shared" si="8"/>
        <v>124</v>
      </c>
      <c r="D35" s="119">
        <f>IF(H34=0,0,IF($B35,D34*(1+$D$5)*(1+VLOOKUP(C34,carriere!$A$2:$D$52,4)),""))</f>
        <v>0</v>
      </c>
      <c r="E35" s="105">
        <f t="shared" si="0"/>
        <v>0</v>
      </c>
      <c r="F35" s="105">
        <f t="shared" si="9"/>
        <v>0</v>
      </c>
      <c r="G35" s="103">
        <f t="shared" si="10"/>
        <v>0</v>
      </c>
      <c r="H35" s="218">
        <f>IF(OR(Rekenblad!B$35&lt;15,Rekenblad!B$35&gt;65),0,IF(Rekenblad!B$15,VLOOKUP(Rekenblad!B$35,Tabel_totaalrecht!A$6:AY$55,maatman!A35-2008,FALSE),VLOOKUP(Rekenblad!B$35,Tabel_basisrecht!A$6:AY$55,maatman!A35-2008,FALSE)))</f>
        <v>0</v>
      </c>
      <c r="I35" s="218">
        <f>H35*Rekenblad!B$24</f>
        <v>0</v>
      </c>
      <c r="J35" s="276">
        <f>I35*('Mijn spaartegoed'!D$17/100)</f>
        <v>0</v>
      </c>
      <c r="K35" s="151">
        <f t="shared" si="1"/>
        <v>0</v>
      </c>
      <c r="L35" s="148">
        <f t="shared" si="20"/>
        <v>0</v>
      </c>
      <c r="M35" s="148">
        <f t="shared" si="21"/>
        <v>0</v>
      </c>
      <c r="N35" s="104">
        <f t="shared" si="11"/>
        <v>0</v>
      </c>
      <c r="O35" s="104">
        <f t="shared" si="22"/>
        <v>0</v>
      </c>
      <c r="P35" s="105">
        <f t="shared" si="12"/>
        <v>0</v>
      </c>
      <c r="Q35" s="105">
        <f t="shared" si="13"/>
        <v>2925</v>
      </c>
      <c r="R35" s="105">
        <f t="shared" si="14"/>
        <v>0</v>
      </c>
      <c r="S35" s="105">
        <f t="shared" si="15"/>
        <v>0</v>
      </c>
      <c r="T35" s="229">
        <f t="shared" si="16"/>
        <v>0</v>
      </c>
      <c r="U35" s="235">
        <f t="shared" si="17"/>
        <v>0</v>
      </c>
      <c r="V35" s="227">
        <f t="shared" si="2"/>
        <v>0</v>
      </c>
      <c r="W35" s="105">
        <f t="shared" si="3"/>
        <v>0</v>
      </c>
      <c r="X35" s="227">
        <f aca="true" t="shared" si="24" ref="X35:X80">+(SUM(J31:J35)*E35+(J30*E34)+(J29*E33))</f>
        <v>0</v>
      </c>
      <c r="Y35" s="105">
        <f t="shared" si="23"/>
        <v>0</v>
      </c>
      <c r="Z35" s="223">
        <f>IF(Rekenblad!B42&gt;=50,SUM(J$21:J35)*E35,(SUM(J31:J35)*E35)+(SUM(Y$21:Y30)))</f>
        <v>0</v>
      </c>
      <c r="AA35" s="227">
        <f t="shared" si="4"/>
        <v>0</v>
      </c>
      <c r="AB35" s="105">
        <f t="shared" si="18"/>
        <v>0</v>
      </c>
      <c r="AC35" s="229">
        <f t="shared" si="19"/>
        <v>0</v>
      </c>
      <c r="AD35" s="228">
        <f>F35*('Mijn spaartegoed'!E$34/100)</f>
        <v>0</v>
      </c>
      <c r="AE35" s="238">
        <f t="shared" si="5"/>
        <v>0</v>
      </c>
    </row>
    <row r="36" spans="1:31" ht="12.75">
      <c r="A36" s="94">
        <f t="shared" si="6"/>
        <v>2025</v>
      </c>
      <c r="B36" s="94" t="b">
        <f t="shared" si="7"/>
        <v>1</v>
      </c>
      <c r="C36" s="94">
        <f t="shared" si="8"/>
        <v>125</v>
      </c>
      <c r="D36" s="119">
        <f>IF(H35=0,0,IF($B36,D35*(1+$D$5)*(1+VLOOKUP(C35,carriere!$A$2:$D$52,4)),""))</f>
        <v>0</v>
      </c>
      <c r="E36" s="105">
        <f t="shared" si="0"/>
        <v>0</v>
      </c>
      <c r="F36" s="105">
        <f t="shared" si="9"/>
        <v>0</v>
      </c>
      <c r="G36" s="103">
        <f t="shared" si="10"/>
        <v>0</v>
      </c>
      <c r="H36" s="218">
        <f>IF(OR(Rekenblad!B$35&lt;15,Rekenblad!B$35&gt;65),0,IF(Rekenblad!B$15,VLOOKUP(Rekenblad!B$35,Tabel_totaalrecht!A$6:AY$55,maatman!A36-2008,FALSE),VLOOKUP(Rekenblad!B$35,Tabel_basisrecht!A$6:AY$55,maatman!A36-2008,FALSE)))</f>
        <v>0</v>
      </c>
      <c r="I36" s="218">
        <f>H36*Rekenblad!B$24</f>
        <v>0</v>
      </c>
      <c r="J36" s="276">
        <f>I36*('Mijn spaartegoed'!D$17/100)</f>
        <v>0</v>
      </c>
      <c r="K36" s="151">
        <f t="shared" si="1"/>
        <v>0</v>
      </c>
      <c r="L36" s="148">
        <f t="shared" si="20"/>
        <v>0</v>
      </c>
      <c r="M36" s="148">
        <f t="shared" si="21"/>
        <v>0</v>
      </c>
      <c r="N36" s="104">
        <f t="shared" si="11"/>
        <v>0</v>
      </c>
      <c r="O36" s="104">
        <f t="shared" si="22"/>
        <v>0</v>
      </c>
      <c r="P36" s="105">
        <f t="shared" si="12"/>
        <v>0</v>
      </c>
      <c r="Q36" s="105">
        <f t="shared" si="13"/>
        <v>3120</v>
      </c>
      <c r="R36" s="105">
        <f t="shared" si="14"/>
        <v>0</v>
      </c>
      <c r="S36" s="105">
        <f t="shared" si="15"/>
        <v>0</v>
      </c>
      <c r="T36" s="229">
        <f t="shared" si="16"/>
        <v>0</v>
      </c>
      <c r="U36" s="235">
        <f t="shared" si="17"/>
        <v>0</v>
      </c>
      <c r="V36" s="227">
        <f t="shared" si="2"/>
        <v>0</v>
      </c>
      <c r="W36" s="105">
        <f t="shared" si="3"/>
        <v>0</v>
      </c>
      <c r="X36" s="227">
        <f t="shared" si="24"/>
        <v>0</v>
      </c>
      <c r="Y36" s="105">
        <f t="shared" si="23"/>
        <v>0</v>
      </c>
      <c r="Z36" s="223">
        <f>IF(Rekenblad!B43&gt;=50,SUM(J$21:J36)*E36,(SUM(J32:J36)*E36)+(SUM(Y$21:Y31)))</f>
        <v>0</v>
      </c>
      <c r="AA36" s="227">
        <f t="shared" si="4"/>
        <v>0</v>
      </c>
      <c r="AB36" s="105">
        <f t="shared" si="18"/>
        <v>0</v>
      </c>
      <c r="AC36" s="229">
        <f t="shared" si="19"/>
        <v>0</v>
      </c>
      <c r="AD36" s="228">
        <f>F36*('Mijn spaartegoed'!E$34/100)</f>
        <v>0</v>
      </c>
      <c r="AE36" s="238">
        <f t="shared" si="5"/>
        <v>0</v>
      </c>
    </row>
    <row r="37" spans="1:31" ht="12.75">
      <c r="A37" s="94">
        <f t="shared" si="6"/>
        <v>2026</v>
      </c>
      <c r="B37" s="94" t="b">
        <f t="shared" si="7"/>
        <v>1</v>
      </c>
      <c r="C37" s="94">
        <f t="shared" si="8"/>
        <v>126</v>
      </c>
      <c r="D37" s="119">
        <f>IF(H36=0,0,IF($B37,D36*(1+$D$5)*(1+VLOOKUP(C36,carriere!$A$2:$D$52,4)),""))</f>
        <v>0</v>
      </c>
      <c r="E37" s="105">
        <f t="shared" si="0"/>
        <v>0</v>
      </c>
      <c r="F37" s="105">
        <f t="shared" si="9"/>
        <v>0</v>
      </c>
      <c r="G37" s="103">
        <f t="shared" si="10"/>
        <v>0</v>
      </c>
      <c r="H37" s="218">
        <f>IF(OR(Rekenblad!B$35&lt;15,Rekenblad!B$35&gt;65),0,IF(Rekenblad!B$15,VLOOKUP(Rekenblad!B$35,Tabel_totaalrecht!A$6:AY$55,maatman!A37-2008,FALSE),VLOOKUP(Rekenblad!B$35,Tabel_basisrecht!A$6:AY$55,maatman!A37-2008,FALSE)))</f>
        <v>0</v>
      </c>
      <c r="I37" s="218">
        <f>H37*Rekenblad!B$24</f>
        <v>0</v>
      </c>
      <c r="J37" s="276">
        <f>I37*('Mijn spaartegoed'!D$17/100)</f>
        <v>0</v>
      </c>
      <c r="K37" s="151">
        <f t="shared" si="1"/>
        <v>0</v>
      </c>
      <c r="L37" s="148">
        <f t="shared" si="20"/>
        <v>0</v>
      </c>
      <c r="M37" s="148">
        <f t="shared" si="21"/>
        <v>0</v>
      </c>
      <c r="N37" s="104">
        <f t="shared" si="11"/>
        <v>0</v>
      </c>
      <c r="O37" s="104">
        <f t="shared" si="22"/>
        <v>0</v>
      </c>
      <c r="P37" s="105">
        <f t="shared" si="12"/>
        <v>0</v>
      </c>
      <c r="Q37" s="105">
        <f t="shared" si="13"/>
        <v>3315</v>
      </c>
      <c r="R37" s="105">
        <f t="shared" si="14"/>
        <v>0</v>
      </c>
      <c r="S37" s="105">
        <f t="shared" si="15"/>
        <v>0</v>
      </c>
      <c r="T37" s="229">
        <f t="shared" si="16"/>
        <v>0</v>
      </c>
      <c r="U37" s="235">
        <f t="shared" si="17"/>
        <v>0</v>
      </c>
      <c r="V37" s="227">
        <f t="shared" si="2"/>
        <v>0</v>
      </c>
      <c r="W37" s="105">
        <f t="shared" si="3"/>
        <v>0</v>
      </c>
      <c r="X37" s="105">
        <f t="shared" si="24"/>
        <v>0</v>
      </c>
      <c r="Y37" s="105">
        <f t="shared" si="23"/>
        <v>0</v>
      </c>
      <c r="Z37" s="223">
        <f>IF(Rekenblad!B44&gt;=50,SUM(J$21:J37)*E37,(SUM(J33:J37)*E37)+(SUM(Y$21:Y32)))</f>
        <v>0</v>
      </c>
      <c r="AA37" s="227">
        <f t="shared" si="4"/>
        <v>0</v>
      </c>
      <c r="AB37" s="105">
        <f t="shared" si="18"/>
        <v>0</v>
      </c>
      <c r="AC37" s="229">
        <f t="shared" si="19"/>
        <v>0</v>
      </c>
      <c r="AD37" s="228">
        <f>F37*('Mijn spaartegoed'!E$34/100)</f>
        <v>0</v>
      </c>
      <c r="AE37" s="238">
        <f t="shared" si="5"/>
        <v>0</v>
      </c>
    </row>
    <row r="38" spans="1:31" ht="12.75">
      <c r="A38" s="94">
        <f t="shared" si="6"/>
        <v>2027</v>
      </c>
      <c r="B38" s="94" t="b">
        <f t="shared" si="7"/>
        <v>1</v>
      </c>
      <c r="C38" s="94">
        <f t="shared" si="8"/>
        <v>127</v>
      </c>
      <c r="D38" s="119">
        <f>IF(H37=0,0,IF($B38,D37*(1+$D$5)*(1+VLOOKUP(C37,carriere!$A$2:$D$52,4)),""))</f>
        <v>0</v>
      </c>
      <c r="E38" s="105">
        <f t="shared" si="0"/>
        <v>0</v>
      </c>
      <c r="F38" s="105">
        <f t="shared" si="9"/>
        <v>0</v>
      </c>
      <c r="G38" s="103">
        <f t="shared" si="10"/>
        <v>0</v>
      </c>
      <c r="H38" s="218">
        <f>IF(OR(Rekenblad!B$35&lt;15,Rekenblad!B$35&gt;65),0,IF(Rekenblad!B$15,VLOOKUP(Rekenblad!B$35,Tabel_totaalrecht!A$6:AY$55,maatman!A38-2008,FALSE),VLOOKUP(Rekenblad!B$35,Tabel_basisrecht!A$6:AY$55,maatman!A38-2008,FALSE)))</f>
        <v>0</v>
      </c>
      <c r="I38" s="218">
        <f>H38*Rekenblad!B$24</f>
        <v>0</v>
      </c>
      <c r="J38" s="276">
        <f>I38*('Mijn spaartegoed'!D$17/100)</f>
        <v>0</v>
      </c>
      <c r="K38" s="151">
        <f t="shared" si="1"/>
        <v>0</v>
      </c>
      <c r="L38" s="148">
        <f t="shared" si="20"/>
        <v>0</v>
      </c>
      <c r="M38" s="148">
        <f t="shared" si="21"/>
        <v>0</v>
      </c>
      <c r="N38" s="104">
        <f t="shared" si="11"/>
        <v>0</v>
      </c>
      <c r="O38" s="104">
        <f t="shared" si="22"/>
        <v>0</v>
      </c>
      <c r="P38" s="105">
        <f>M38*D$8</f>
        <v>0</v>
      </c>
      <c r="Q38" s="105">
        <f t="shared" si="13"/>
        <v>3510</v>
      </c>
      <c r="R38" s="105">
        <f t="shared" si="14"/>
        <v>0</v>
      </c>
      <c r="S38" s="105">
        <f t="shared" si="15"/>
        <v>0</v>
      </c>
      <c r="T38" s="229">
        <f t="shared" si="16"/>
        <v>0</v>
      </c>
      <c r="U38" s="235">
        <f t="shared" si="17"/>
        <v>0</v>
      </c>
      <c r="V38" s="227">
        <f t="shared" si="2"/>
        <v>0</v>
      </c>
      <c r="W38" s="105">
        <f t="shared" si="3"/>
        <v>0</v>
      </c>
      <c r="X38" s="105">
        <f t="shared" si="24"/>
        <v>0</v>
      </c>
      <c r="Y38" s="105">
        <f t="shared" si="23"/>
        <v>0</v>
      </c>
      <c r="Z38" s="223">
        <f>IF(Rekenblad!B45&gt;=50,SUM(J$21:J38)*E38,(SUM(J34:J38)*E38)+(SUM(Y$21:Y33)))</f>
        <v>0</v>
      </c>
      <c r="AA38" s="227">
        <f t="shared" si="4"/>
        <v>0</v>
      </c>
      <c r="AB38" s="105">
        <f t="shared" si="18"/>
        <v>0</v>
      </c>
      <c r="AC38" s="229">
        <f t="shared" si="19"/>
        <v>0</v>
      </c>
      <c r="AD38" s="228">
        <f>F38*('Mijn spaartegoed'!E$34/100)</f>
        <v>0</v>
      </c>
      <c r="AE38" s="238">
        <f t="shared" si="5"/>
        <v>0</v>
      </c>
    </row>
    <row r="39" spans="1:31" ht="12.75">
      <c r="A39" s="94">
        <f t="shared" si="6"/>
        <v>2028</v>
      </c>
      <c r="B39" s="94" t="b">
        <f t="shared" si="7"/>
        <v>1</v>
      </c>
      <c r="C39" s="94">
        <f t="shared" si="8"/>
        <v>128</v>
      </c>
      <c r="D39" s="119">
        <f>IF(H38=0,0,IF($B39,D38*(1+$D$5)*(1+VLOOKUP(C38,carriere!$A$2:$D$52,4)),""))</f>
        <v>0</v>
      </c>
      <c r="E39" s="105">
        <f t="shared" si="0"/>
        <v>0</v>
      </c>
      <c r="F39" s="105">
        <f t="shared" si="9"/>
        <v>0</v>
      </c>
      <c r="G39" s="103">
        <f t="shared" si="10"/>
        <v>0</v>
      </c>
      <c r="H39" s="218">
        <f>IF(OR(Rekenblad!B$35&lt;15,Rekenblad!B$35&gt;65),0,IF(Rekenblad!B$15,VLOOKUP(Rekenblad!B$35,Tabel_totaalrecht!A$6:AY$55,maatman!A39-2008,FALSE),VLOOKUP(Rekenblad!B$35,Tabel_basisrecht!A$6:AY$55,maatman!A39-2008,FALSE)))</f>
        <v>0</v>
      </c>
      <c r="I39" s="218">
        <f>H39*Rekenblad!B$24</f>
        <v>0</v>
      </c>
      <c r="J39" s="276">
        <f>I39*('Mijn spaartegoed'!D$17/100)</f>
        <v>0</v>
      </c>
      <c r="K39" s="151">
        <f t="shared" si="1"/>
        <v>0</v>
      </c>
      <c r="L39" s="148">
        <f t="shared" si="20"/>
        <v>0</v>
      </c>
      <c r="M39" s="148">
        <f t="shared" si="21"/>
        <v>0</v>
      </c>
      <c r="N39" s="104">
        <f t="shared" si="11"/>
        <v>0</v>
      </c>
      <c r="O39" s="104">
        <f t="shared" si="22"/>
        <v>0</v>
      </c>
      <c r="P39" s="105">
        <f t="shared" si="12"/>
        <v>0</v>
      </c>
      <c r="Q39" s="105">
        <f t="shared" si="13"/>
        <v>3705</v>
      </c>
      <c r="R39" s="105">
        <f t="shared" si="14"/>
        <v>0</v>
      </c>
      <c r="S39" s="105">
        <f t="shared" si="15"/>
        <v>0</v>
      </c>
      <c r="T39" s="229">
        <f t="shared" si="16"/>
        <v>0</v>
      </c>
      <c r="U39" s="235">
        <f t="shared" si="17"/>
        <v>0</v>
      </c>
      <c r="V39" s="227">
        <f t="shared" si="2"/>
        <v>0</v>
      </c>
      <c r="W39" s="105">
        <f t="shared" si="3"/>
        <v>0</v>
      </c>
      <c r="X39" s="105">
        <f t="shared" si="24"/>
        <v>0</v>
      </c>
      <c r="Y39" s="105">
        <f t="shared" si="23"/>
        <v>0</v>
      </c>
      <c r="Z39" s="223">
        <f>IF(Rekenblad!B46&gt;=50,SUM(J$21:J39)*E39,(SUM(J35:J39)*E39)+(SUM(Y$21:Y34)))</f>
        <v>0</v>
      </c>
      <c r="AA39" s="227">
        <f t="shared" si="4"/>
        <v>0</v>
      </c>
      <c r="AB39" s="105">
        <f t="shared" si="18"/>
        <v>0</v>
      </c>
      <c r="AC39" s="229">
        <f t="shared" si="19"/>
        <v>0</v>
      </c>
      <c r="AD39" s="228">
        <f>F39*('Mijn spaartegoed'!E$34/100)</f>
        <v>0</v>
      </c>
      <c r="AE39" s="238">
        <f t="shared" si="5"/>
        <v>0</v>
      </c>
    </row>
    <row r="40" spans="1:31" ht="12.75">
      <c r="A40" s="94">
        <f t="shared" si="6"/>
        <v>2029</v>
      </c>
      <c r="B40" s="94" t="b">
        <f t="shared" si="7"/>
        <v>1</v>
      </c>
      <c r="C40" s="94">
        <f t="shared" si="8"/>
        <v>129</v>
      </c>
      <c r="D40" s="119">
        <f>IF(H39=0,0,IF($B40,D39*(1+$D$5)*(1+VLOOKUP(C39,carriere!$A$2:$D$52,4)),""))</f>
        <v>0</v>
      </c>
      <c r="E40" s="105">
        <f t="shared" si="0"/>
        <v>0</v>
      </c>
      <c r="F40" s="105">
        <f t="shared" si="9"/>
        <v>0</v>
      </c>
      <c r="G40" s="103">
        <f t="shared" si="10"/>
        <v>0</v>
      </c>
      <c r="H40" s="218">
        <f>IF(OR(Rekenblad!B$35&lt;15,Rekenblad!B$35&gt;65),0,IF(Rekenblad!B$15,VLOOKUP(Rekenblad!B$35,Tabel_totaalrecht!A$6:AY$55,maatman!A40-2008,FALSE),VLOOKUP(Rekenblad!B$35,Tabel_basisrecht!A$6:AY$55,maatman!A40-2008,FALSE)))</f>
        <v>0</v>
      </c>
      <c r="I40" s="218">
        <f>H40*Rekenblad!B$24</f>
        <v>0</v>
      </c>
      <c r="J40" s="276">
        <f>I40*('Mijn spaartegoed'!D$17/100)</f>
        <v>0</v>
      </c>
      <c r="K40" s="151">
        <f t="shared" si="1"/>
        <v>0</v>
      </c>
      <c r="L40" s="148">
        <f t="shared" si="20"/>
        <v>0</v>
      </c>
      <c r="M40" s="148">
        <f t="shared" si="21"/>
        <v>0</v>
      </c>
      <c r="N40" s="104">
        <f t="shared" si="11"/>
        <v>0</v>
      </c>
      <c r="O40" s="104">
        <f t="shared" si="22"/>
        <v>0</v>
      </c>
      <c r="P40" s="105">
        <f t="shared" si="12"/>
        <v>0</v>
      </c>
      <c r="Q40" s="105">
        <f t="shared" si="13"/>
        <v>3900</v>
      </c>
      <c r="R40" s="105">
        <f t="shared" si="14"/>
        <v>0</v>
      </c>
      <c r="S40" s="105">
        <f t="shared" si="15"/>
        <v>0</v>
      </c>
      <c r="T40" s="229">
        <f t="shared" si="16"/>
        <v>0</v>
      </c>
      <c r="U40" s="235">
        <f t="shared" si="17"/>
        <v>0</v>
      </c>
      <c r="V40" s="227">
        <f t="shared" si="2"/>
        <v>0</v>
      </c>
      <c r="W40" s="105">
        <f t="shared" si="3"/>
        <v>0</v>
      </c>
      <c r="X40" s="105">
        <f t="shared" si="24"/>
        <v>0</v>
      </c>
      <c r="Y40" s="105">
        <f t="shared" si="23"/>
        <v>0</v>
      </c>
      <c r="Z40" s="223">
        <f>IF(Rekenblad!B47&gt;=50,SUM(J$21:J40)*E40,(SUM(J36:J40)*E40)+(SUM(Y$21:Y35)))</f>
        <v>0</v>
      </c>
      <c r="AA40" s="227">
        <f t="shared" si="4"/>
        <v>0</v>
      </c>
      <c r="AB40" s="105">
        <f t="shared" si="18"/>
        <v>0</v>
      </c>
      <c r="AC40" s="229">
        <f t="shared" si="19"/>
        <v>0</v>
      </c>
      <c r="AD40" s="228">
        <f>F40*('Mijn spaartegoed'!E$34/100)</f>
        <v>0</v>
      </c>
      <c r="AE40" s="238">
        <f t="shared" si="5"/>
        <v>0</v>
      </c>
    </row>
    <row r="41" spans="1:31" ht="12.75">
      <c r="A41" s="94">
        <f t="shared" si="6"/>
        <v>2030</v>
      </c>
      <c r="B41" s="94" t="b">
        <f t="shared" si="7"/>
        <v>1</v>
      </c>
      <c r="C41" s="94">
        <f t="shared" si="8"/>
        <v>130</v>
      </c>
      <c r="D41" s="119">
        <f>IF(H40=0,0,IF($B41,D40*(1+$D$5)*(1+VLOOKUP(C40,carriere!$A$2:$D$52,4)),""))</f>
        <v>0</v>
      </c>
      <c r="E41" s="105">
        <f t="shared" si="0"/>
        <v>0</v>
      </c>
      <c r="F41" s="105">
        <f t="shared" si="9"/>
        <v>0</v>
      </c>
      <c r="G41" s="103">
        <f t="shared" si="10"/>
        <v>0</v>
      </c>
      <c r="H41" s="218">
        <f>IF(OR(Rekenblad!B$35&lt;15,Rekenblad!B$35&gt;65),0,IF(Rekenblad!B$15,VLOOKUP(Rekenblad!B$35,Tabel_totaalrecht!A$6:AY$55,maatman!A41-2008,FALSE),VLOOKUP(Rekenblad!B$35,Tabel_basisrecht!A$6:AY$55,maatman!A41-2008,FALSE)))</f>
        <v>0</v>
      </c>
      <c r="I41" s="218">
        <f>H41*Rekenblad!B$24</f>
        <v>0</v>
      </c>
      <c r="J41" s="276">
        <f>I41*('Mijn spaartegoed'!D$17/100)</f>
        <v>0</v>
      </c>
      <c r="K41" s="151">
        <f t="shared" si="1"/>
        <v>0</v>
      </c>
      <c r="L41" s="148">
        <f t="shared" si="20"/>
        <v>0</v>
      </c>
      <c r="M41" s="148">
        <f t="shared" si="21"/>
        <v>0</v>
      </c>
      <c r="N41" s="104">
        <f t="shared" si="11"/>
        <v>0</v>
      </c>
      <c r="O41" s="104">
        <f t="shared" si="22"/>
        <v>0</v>
      </c>
      <c r="P41" s="105">
        <f t="shared" si="12"/>
        <v>0</v>
      </c>
      <c r="Q41" s="105">
        <f t="shared" si="13"/>
        <v>4095</v>
      </c>
      <c r="R41" s="105">
        <f t="shared" si="14"/>
        <v>0</v>
      </c>
      <c r="S41" s="105">
        <f t="shared" si="15"/>
        <v>0</v>
      </c>
      <c r="T41" s="229">
        <f t="shared" si="16"/>
        <v>0</v>
      </c>
      <c r="U41" s="235">
        <f t="shared" si="17"/>
        <v>0</v>
      </c>
      <c r="V41" s="227">
        <f t="shared" si="2"/>
        <v>0</v>
      </c>
      <c r="W41" s="105">
        <f t="shared" si="3"/>
        <v>0</v>
      </c>
      <c r="X41" s="105">
        <f t="shared" si="24"/>
        <v>0</v>
      </c>
      <c r="Y41" s="105">
        <f t="shared" si="23"/>
        <v>0</v>
      </c>
      <c r="Z41" s="223">
        <f>IF(Rekenblad!B48&gt;=50,SUM(J$21:J41)*E41,(SUM(J37:J41)*E41)+(SUM(Y$21:Y36)))</f>
        <v>0</v>
      </c>
      <c r="AA41" s="227">
        <f t="shared" si="4"/>
        <v>0</v>
      </c>
      <c r="AB41" s="105">
        <f t="shared" si="18"/>
        <v>0</v>
      </c>
      <c r="AC41" s="229">
        <f t="shared" si="19"/>
        <v>0</v>
      </c>
      <c r="AD41" s="228">
        <f>F41*('Mijn spaartegoed'!E$34/100)</f>
        <v>0</v>
      </c>
      <c r="AE41" s="238">
        <f t="shared" si="5"/>
        <v>0</v>
      </c>
    </row>
    <row r="42" spans="1:31" ht="12.75">
      <c r="A42" s="94">
        <f t="shared" si="6"/>
        <v>2031</v>
      </c>
      <c r="B42" s="94" t="b">
        <f t="shared" si="7"/>
        <v>1</v>
      </c>
      <c r="C42" s="94">
        <f t="shared" si="8"/>
        <v>131</v>
      </c>
      <c r="D42" s="119">
        <f>IF(H41=0,0,IF($B42,D41*(1+$D$5)*(1+VLOOKUP(C41,carriere!$A$2:$D$52,4)),""))</f>
        <v>0</v>
      </c>
      <c r="E42" s="105">
        <f t="shared" si="0"/>
        <v>0</v>
      </c>
      <c r="F42" s="105">
        <f t="shared" si="9"/>
        <v>0</v>
      </c>
      <c r="G42" s="103">
        <f t="shared" si="10"/>
        <v>0</v>
      </c>
      <c r="H42" s="218">
        <f>IF(OR(Rekenblad!B$35&lt;15,Rekenblad!B$35&gt;65),0,IF(Rekenblad!B$15,VLOOKUP(Rekenblad!B$35,Tabel_totaalrecht!A$6:AY$55,maatman!A42-2008,FALSE),VLOOKUP(Rekenblad!B$35,Tabel_basisrecht!A$6:AY$55,maatman!A42-2008,FALSE)))</f>
        <v>0</v>
      </c>
      <c r="I42" s="218">
        <f>H42*Rekenblad!B$24</f>
        <v>0</v>
      </c>
      <c r="J42" s="276">
        <f>I42*('Mijn spaartegoed'!D$17/100)</f>
        <v>0</v>
      </c>
      <c r="K42" s="151">
        <f t="shared" si="1"/>
        <v>0</v>
      </c>
      <c r="L42" s="148">
        <f t="shared" si="20"/>
        <v>0</v>
      </c>
      <c r="M42" s="148">
        <f t="shared" si="21"/>
        <v>0</v>
      </c>
      <c r="N42" s="104">
        <f t="shared" si="11"/>
        <v>0</v>
      </c>
      <c r="O42" s="104">
        <f t="shared" si="22"/>
        <v>0</v>
      </c>
      <c r="P42" s="105">
        <f t="shared" si="12"/>
        <v>0</v>
      </c>
      <c r="Q42" s="105">
        <f t="shared" si="13"/>
        <v>4290</v>
      </c>
      <c r="R42" s="105">
        <f t="shared" si="14"/>
        <v>0</v>
      </c>
      <c r="S42" s="105">
        <f t="shared" si="15"/>
        <v>0</v>
      </c>
      <c r="T42" s="229">
        <f t="shared" si="16"/>
        <v>0</v>
      </c>
      <c r="U42" s="235">
        <f t="shared" si="17"/>
        <v>0</v>
      </c>
      <c r="V42" s="227">
        <f t="shared" si="2"/>
        <v>0</v>
      </c>
      <c r="W42" s="105">
        <f t="shared" si="3"/>
        <v>0</v>
      </c>
      <c r="X42" s="105">
        <f t="shared" si="24"/>
        <v>0</v>
      </c>
      <c r="Y42" s="105">
        <f t="shared" si="23"/>
        <v>0</v>
      </c>
      <c r="Z42" s="223">
        <f>IF(Rekenblad!B49&gt;=50,SUM(J$21:J42)*E42,(SUM(J38:J42)*E42)+(SUM(Y$21:Y37)))</f>
        <v>0</v>
      </c>
      <c r="AA42" s="227">
        <f t="shared" si="4"/>
        <v>0</v>
      </c>
      <c r="AB42" s="105">
        <f t="shared" si="18"/>
        <v>0</v>
      </c>
      <c r="AC42" s="229">
        <f t="shared" si="19"/>
        <v>0</v>
      </c>
      <c r="AD42" s="228">
        <f>F42*('Mijn spaartegoed'!E$34/100)</f>
        <v>0</v>
      </c>
      <c r="AE42" s="238">
        <f t="shared" si="5"/>
        <v>0</v>
      </c>
    </row>
    <row r="43" spans="1:31" ht="12.75">
      <c r="A43" s="94">
        <f t="shared" si="6"/>
        <v>2032</v>
      </c>
      <c r="B43" s="94" t="b">
        <f t="shared" si="7"/>
        <v>1</v>
      </c>
      <c r="C43" s="94">
        <f t="shared" si="8"/>
        <v>132</v>
      </c>
      <c r="D43" s="119">
        <f>IF(H42=0,0,IF($B43,D42*(1+$D$5)*(1+VLOOKUP(C42,carriere!$A$2:$D$52,4)),""))</f>
        <v>0</v>
      </c>
      <c r="E43" s="105">
        <f t="shared" si="0"/>
        <v>0</v>
      </c>
      <c r="F43" s="105">
        <f t="shared" si="9"/>
        <v>0</v>
      </c>
      <c r="G43" s="103">
        <f t="shared" si="10"/>
        <v>0</v>
      </c>
      <c r="H43" s="218">
        <f>IF(OR(Rekenblad!B$35&lt;15,Rekenblad!B$35&gt;65),0,IF(Rekenblad!B$15,VLOOKUP(Rekenblad!B$35,Tabel_totaalrecht!A$6:AY$55,maatman!A43-2008,FALSE),VLOOKUP(Rekenblad!B$35,Tabel_basisrecht!A$6:AY$55,maatman!A43-2008,FALSE)))</f>
        <v>0</v>
      </c>
      <c r="I43" s="218">
        <f>H43*Rekenblad!B$24</f>
        <v>0</v>
      </c>
      <c r="J43" s="276">
        <f>I43*('Mijn spaartegoed'!D$17/100)</f>
        <v>0</v>
      </c>
      <c r="K43" s="151">
        <f t="shared" si="1"/>
        <v>0</v>
      </c>
      <c r="L43" s="148">
        <f t="shared" si="20"/>
        <v>0</v>
      </c>
      <c r="M43" s="148">
        <f t="shared" si="21"/>
        <v>0</v>
      </c>
      <c r="N43" s="104">
        <f t="shared" si="11"/>
        <v>0</v>
      </c>
      <c r="O43" s="104">
        <f t="shared" si="22"/>
        <v>0</v>
      </c>
      <c r="P43" s="105">
        <f t="shared" si="12"/>
        <v>0</v>
      </c>
      <c r="Q43" s="105">
        <f t="shared" si="13"/>
        <v>4485</v>
      </c>
      <c r="R43" s="105">
        <f t="shared" si="14"/>
        <v>0</v>
      </c>
      <c r="S43" s="105">
        <f t="shared" si="15"/>
        <v>0</v>
      </c>
      <c r="T43" s="229">
        <f t="shared" si="16"/>
        <v>0</v>
      </c>
      <c r="U43" s="235">
        <f t="shared" si="17"/>
        <v>0</v>
      </c>
      <c r="V43" s="227">
        <f t="shared" si="2"/>
        <v>0</v>
      </c>
      <c r="W43" s="105">
        <f t="shared" si="3"/>
        <v>0</v>
      </c>
      <c r="X43" s="105">
        <f t="shared" si="24"/>
        <v>0</v>
      </c>
      <c r="Y43" s="105">
        <f t="shared" si="23"/>
        <v>0</v>
      </c>
      <c r="Z43" s="223">
        <f>IF(Rekenblad!B50&gt;=50,SUM(J$21:J43)*E43,(SUM(J39:J43)*E43)+(SUM(Y$21:Y38)))</f>
        <v>0</v>
      </c>
      <c r="AA43" s="227">
        <f t="shared" si="4"/>
        <v>0</v>
      </c>
      <c r="AB43" s="105">
        <f t="shared" si="18"/>
        <v>0</v>
      </c>
      <c r="AC43" s="229">
        <f t="shared" si="19"/>
        <v>0</v>
      </c>
      <c r="AD43" s="228">
        <f>F43*('Mijn spaartegoed'!E$34/100)</f>
        <v>0</v>
      </c>
      <c r="AE43" s="238">
        <f t="shared" si="5"/>
        <v>0</v>
      </c>
    </row>
    <row r="44" spans="1:31" ht="12.75">
      <c r="A44" s="94">
        <f t="shared" si="6"/>
        <v>2033</v>
      </c>
      <c r="B44" s="94" t="b">
        <f t="shared" si="7"/>
        <v>1</v>
      </c>
      <c r="C44" s="94">
        <f t="shared" si="8"/>
        <v>133</v>
      </c>
      <c r="D44" s="119">
        <f>IF(H43=0,0,IF($B44,D43*(1+$D$5)*(1+VLOOKUP(C43,carriere!$A$2:$D$52,4)),""))</f>
        <v>0</v>
      </c>
      <c r="E44" s="105">
        <f t="shared" si="0"/>
        <v>0</v>
      </c>
      <c r="F44" s="105">
        <f t="shared" si="9"/>
        <v>0</v>
      </c>
      <c r="G44" s="103">
        <f t="shared" si="10"/>
        <v>0</v>
      </c>
      <c r="H44" s="218">
        <f>IF(OR(Rekenblad!B$35&lt;15,Rekenblad!B$35&gt;65),0,IF(Rekenblad!B$15,VLOOKUP(Rekenblad!B$35,Tabel_totaalrecht!A$6:AY$55,maatman!A44-2008,FALSE),VLOOKUP(Rekenblad!B$35,Tabel_basisrecht!A$6:AY$55,maatman!A44-2008,FALSE)))</f>
        <v>0</v>
      </c>
      <c r="I44" s="218">
        <f>H44*Rekenblad!B$24</f>
        <v>0</v>
      </c>
      <c r="J44" s="276">
        <f>I44*('Mijn spaartegoed'!D$17/100)</f>
        <v>0</v>
      </c>
      <c r="K44" s="151">
        <f t="shared" si="1"/>
        <v>0</v>
      </c>
      <c r="L44" s="148">
        <f t="shared" si="20"/>
        <v>0</v>
      </c>
      <c r="M44" s="148">
        <f t="shared" si="21"/>
        <v>0</v>
      </c>
      <c r="N44" s="104">
        <f t="shared" si="11"/>
        <v>0</v>
      </c>
      <c r="O44" s="104">
        <f t="shared" si="22"/>
        <v>0</v>
      </c>
      <c r="P44" s="105">
        <f t="shared" si="12"/>
        <v>0</v>
      </c>
      <c r="Q44" s="105">
        <f t="shared" si="13"/>
        <v>4680</v>
      </c>
      <c r="R44" s="105">
        <f t="shared" si="14"/>
        <v>0</v>
      </c>
      <c r="S44" s="105">
        <f t="shared" si="15"/>
        <v>0</v>
      </c>
      <c r="T44" s="229">
        <f t="shared" si="16"/>
        <v>0</v>
      </c>
      <c r="U44" s="235">
        <f t="shared" si="17"/>
        <v>0</v>
      </c>
      <c r="V44" s="227">
        <f t="shared" si="2"/>
        <v>0</v>
      </c>
      <c r="W44" s="105">
        <f t="shared" si="3"/>
        <v>0</v>
      </c>
      <c r="X44" s="105">
        <f t="shared" si="24"/>
        <v>0</v>
      </c>
      <c r="Y44" s="105">
        <f t="shared" si="23"/>
        <v>0</v>
      </c>
      <c r="Z44" s="223">
        <f>IF(Rekenblad!B51&gt;=50,SUM(J$21:J44)*E44,(SUM(J40:J44)*E44)+(SUM(Y$21:Y39)))</f>
        <v>0</v>
      </c>
      <c r="AA44" s="227">
        <f t="shared" si="4"/>
        <v>0</v>
      </c>
      <c r="AB44" s="105">
        <f t="shared" si="18"/>
        <v>0</v>
      </c>
      <c r="AC44" s="229">
        <f t="shared" si="19"/>
        <v>0</v>
      </c>
      <c r="AD44" s="228">
        <f>F44*('Mijn spaartegoed'!E$34/100)</f>
        <v>0</v>
      </c>
      <c r="AE44" s="238">
        <f t="shared" si="5"/>
        <v>0</v>
      </c>
    </row>
    <row r="45" spans="1:31" ht="12.75">
      <c r="A45" s="94">
        <f t="shared" si="6"/>
        <v>2034</v>
      </c>
      <c r="B45" s="94" t="b">
        <f t="shared" si="7"/>
        <v>1</v>
      </c>
      <c r="C45" s="94">
        <f t="shared" si="8"/>
        <v>134</v>
      </c>
      <c r="D45" s="119">
        <f>IF(H44=0,0,IF($B45,D44*(1+$D$5)*(1+VLOOKUP(C44,carriere!$A$2:$D$52,4)),""))</f>
        <v>0</v>
      </c>
      <c r="E45" s="105">
        <f t="shared" si="0"/>
        <v>0</v>
      </c>
      <c r="F45" s="105">
        <f t="shared" si="9"/>
        <v>0</v>
      </c>
      <c r="G45" s="103">
        <f t="shared" si="10"/>
        <v>0</v>
      </c>
      <c r="H45" s="218">
        <f>IF(OR(Rekenblad!B$35&lt;15,Rekenblad!B$35&gt;65),0,IF(Rekenblad!B$15,VLOOKUP(Rekenblad!B$35,Tabel_totaalrecht!A$6:AY$55,maatman!A45-2008,FALSE),VLOOKUP(Rekenblad!B$35,Tabel_basisrecht!A$6:AY$55,maatman!A45-2008,FALSE)))</f>
        <v>0</v>
      </c>
      <c r="I45" s="218">
        <f>H45*Rekenblad!B$24</f>
        <v>0</v>
      </c>
      <c r="J45" s="276">
        <f>I45*('Mijn spaartegoed'!D$17/100)</f>
        <v>0</v>
      </c>
      <c r="K45" s="151">
        <f t="shared" si="1"/>
        <v>0</v>
      </c>
      <c r="L45" s="148">
        <f t="shared" si="20"/>
        <v>0</v>
      </c>
      <c r="M45" s="148">
        <f t="shared" si="21"/>
        <v>0</v>
      </c>
      <c r="N45" s="104">
        <f t="shared" si="11"/>
        <v>0</v>
      </c>
      <c r="O45" s="104">
        <f t="shared" si="22"/>
        <v>0</v>
      </c>
      <c r="P45" s="105">
        <f t="shared" si="12"/>
        <v>0</v>
      </c>
      <c r="Q45" s="105">
        <f t="shared" si="13"/>
        <v>4875</v>
      </c>
      <c r="R45" s="105">
        <f t="shared" si="14"/>
        <v>0</v>
      </c>
      <c r="S45" s="105">
        <f t="shared" si="15"/>
        <v>0</v>
      </c>
      <c r="T45" s="229">
        <f t="shared" si="16"/>
        <v>0</v>
      </c>
      <c r="U45" s="235">
        <f t="shared" si="17"/>
        <v>0</v>
      </c>
      <c r="V45" s="227">
        <f t="shared" si="2"/>
        <v>0</v>
      </c>
      <c r="W45" s="105">
        <f t="shared" si="3"/>
        <v>0</v>
      </c>
      <c r="X45" s="105">
        <f t="shared" si="24"/>
        <v>0</v>
      </c>
      <c r="Y45" s="105">
        <f t="shared" si="23"/>
        <v>0</v>
      </c>
      <c r="Z45" s="223">
        <f>IF(Rekenblad!B52&gt;=50,SUM(J$21:J45)*E45,(SUM(J41:J45)*E45)+(SUM(Y$21:Y40)))</f>
        <v>0</v>
      </c>
      <c r="AA45" s="227">
        <f t="shared" si="4"/>
        <v>0</v>
      </c>
      <c r="AB45" s="105">
        <f t="shared" si="18"/>
        <v>0</v>
      </c>
      <c r="AC45" s="229">
        <f t="shared" si="19"/>
        <v>0</v>
      </c>
      <c r="AD45" s="228">
        <f>F45*('Mijn spaartegoed'!E$34/100)</f>
        <v>0</v>
      </c>
      <c r="AE45" s="238">
        <f t="shared" si="5"/>
        <v>0</v>
      </c>
    </row>
    <row r="46" spans="1:31" ht="12.75">
      <c r="A46" s="94">
        <f t="shared" si="6"/>
        <v>2035</v>
      </c>
      <c r="B46" s="94" t="b">
        <f t="shared" si="7"/>
        <v>1</v>
      </c>
      <c r="C46" s="94">
        <f t="shared" si="8"/>
        <v>135</v>
      </c>
      <c r="D46" s="119">
        <f>IF(H45=0,0,IF($B46,D45*(1+$D$5)*(1+VLOOKUP(C45,carriere!$A$2:$D$52,4)),""))</f>
        <v>0</v>
      </c>
      <c r="E46" s="105">
        <f t="shared" si="0"/>
        <v>0</v>
      </c>
      <c r="F46" s="105">
        <f t="shared" si="9"/>
        <v>0</v>
      </c>
      <c r="G46" s="103">
        <f t="shared" si="10"/>
        <v>0</v>
      </c>
      <c r="H46" s="218">
        <f>IF(OR(Rekenblad!B$35&lt;15,Rekenblad!B$35&gt;65),0,IF(Rekenblad!B$15,VLOOKUP(Rekenblad!B$35,Tabel_totaalrecht!A$6:AY$55,maatman!A46-2008,FALSE),VLOOKUP(Rekenblad!B$35,Tabel_basisrecht!A$6:AY$55,maatman!A46-2008,FALSE)))</f>
        <v>0</v>
      </c>
      <c r="I46" s="218">
        <f>H46*Rekenblad!B$24</f>
        <v>0</v>
      </c>
      <c r="J46" s="276">
        <f>I46*('Mijn spaartegoed'!D$17/100)</f>
        <v>0</v>
      </c>
      <c r="K46" s="151">
        <f t="shared" si="1"/>
        <v>0</v>
      </c>
      <c r="L46" s="148">
        <f t="shared" si="20"/>
        <v>0</v>
      </c>
      <c r="M46" s="148">
        <f t="shared" si="21"/>
        <v>0</v>
      </c>
      <c r="N46" s="104">
        <f t="shared" si="11"/>
        <v>0</v>
      </c>
      <c r="O46" s="104">
        <f t="shared" si="22"/>
        <v>0</v>
      </c>
      <c r="P46" s="105">
        <f t="shared" si="12"/>
        <v>0</v>
      </c>
      <c r="Q46" s="105">
        <f t="shared" si="13"/>
        <v>5070</v>
      </c>
      <c r="R46" s="105">
        <f t="shared" si="14"/>
        <v>0</v>
      </c>
      <c r="S46" s="105">
        <f t="shared" si="15"/>
        <v>0</v>
      </c>
      <c r="T46" s="229">
        <f t="shared" si="16"/>
        <v>0</v>
      </c>
      <c r="U46" s="235">
        <f t="shared" si="17"/>
        <v>0</v>
      </c>
      <c r="V46" s="227">
        <f t="shared" si="2"/>
        <v>0</v>
      </c>
      <c r="W46" s="105">
        <f t="shared" si="3"/>
        <v>0</v>
      </c>
      <c r="X46" s="105">
        <f t="shared" si="24"/>
        <v>0</v>
      </c>
      <c r="Y46" s="105">
        <f t="shared" si="23"/>
        <v>0</v>
      </c>
      <c r="Z46" s="223">
        <f>IF(Rekenblad!B53&gt;=50,SUM(J$21:J46)*E46,(SUM(J42:J46)*E46)+(SUM(Y$21:Y41)))</f>
        <v>0</v>
      </c>
      <c r="AA46" s="227">
        <f t="shared" si="4"/>
        <v>0</v>
      </c>
      <c r="AB46" s="105">
        <f t="shared" si="18"/>
        <v>0</v>
      </c>
      <c r="AC46" s="229">
        <f t="shared" si="19"/>
        <v>0</v>
      </c>
      <c r="AD46" s="228">
        <f>F46*('Mijn spaartegoed'!E$34/100)</f>
        <v>0</v>
      </c>
      <c r="AE46" s="238">
        <f t="shared" si="5"/>
        <v>0</v>
      </c>
    </row>
    <row r="47" spans="1:31" ht="12.75">
      <c r="A47" s="94">
        <f t="shared" si="6"/>
        <v>2036</v>
      </c>
      <c r="B47" s="94" t="b">
        <f t="shared" si="7"/>
        <v>1</v>
      </c>
      <c r="C47" s="94">
        <f t="shared" si="8"/>
        <v>136</v>
      </c>
      <c r="D47" s="119">
        <f>IF(H46=0,0,IF($B47,D46*(1+$D$5)*(1+VLOOKUP(C46,carriere!$A$2:$D$52,4)),""))</f>
        <v>0</v>
      </c>
      <c r="E47" s="105">
        <f t="shared" si="0"/>
        <v>0</v>
      </c>
      <c r="F47" s="105">
        <f t="shared" si="9"/>
        <v>0</v>
      </c>
      <c r="G47" s="103">
        <f t="shared" si="10"/>
        <v>0</v>
      </c>
      <c r="H47" s="218">
        <f>IF(OR(Rekenblad!B$35&lt;15,Rekenblad!B$35&gt;65),0,IF(Rekenblad!B$15,VLOOKUP(Rekenblad!B$35,Tabel_totaalrecht!A$6:AY$55,maatman!A47-2008,FALSE),VLOOKUP(Rekenblad!B$35,Tabel_basisrecht!A$6:AY$55,maatman!A47-2008,FALSE)))</f>
        <v>0</v>
      </c>
      <c r="I47" s="218">
        <f>H47*Rekenblad!B$24</f>
        <v>0</v>
      </c>
      <c r="J47" s="276">
        <f>I47*('Mijn spaartegoed'!D$17/100)</f>
        <v>0</v>
      </c>
      <c r="K47" s="151">
        <f t="shared" si="1"/>
        <v>0</v>
      </c>
      <c r="L47" s="148">
        <f t="shared" si="20"/>
        <v>0</v>
      </c>
      <c r="M47" s="148">
        <f t="shared" si="21"/>
        <v>0</v>
      </c>
      <c r="N47" s="104">
        <f t="shared" si="11"/>
        <v>0</v>
      </c>
      <c r="O47" s="104">
        <f t="shared" si="22"/>
        <v>0</v>
      </c>
      <c r="P47" s="105">
        <f t="shared" si="12"/>
        <v>0</v>
      </c>
      <c r="Q47" s="105">
        <f t="shared" si="13"/>
        <v>5265</v>
      </c>
      <c r="R47" s="105">
        <f t="shared" si="14"/>
        <v>0</v>
      </c>
      <c r="S47" s="105">
        <f t="shared" si="15"/>
        <v>0</v>
      </c>
      <c r="T47" s="229">
        <f t="shared" si="16"/>
        <v>0</v>
      </c>
      <c r="U47" s="235">
        <f t="shared" si="17"/>
        <v>0</v>
      </c>
      <c r="V47" s="227">
        <f t="shared" si="2"/>
        <v>0</v>
      </c>
      <c r="W47" s="105">
        <f t="shared" si="3"/>
        <v>0</v>
      </c>
      <c r="X47" s="105">
        <f t="shared" si="24"/>
        <v>0</v>
      </c>
      <c r="Y47" s="105">
        <f t="shared" si="23"/>
        <v>0</v>
      </c>
      <c r="Z47" s="223">
        <f>IF(Rekenblad!B54&gt;=50,SUM(J$21:J47)*E47,(SUM(J43:J47)*E47)+(SUM(Y$21:Y42)))</f>
        <v>0</v>
      </c>
      <c r="AA47" s="227">
        <f t="shared" si="4"/>
        <v>0</v>
      </c>
      <c r="AB47" s="105">
        <f t="shared" si="18"/>
        <v>0</v>
      </c>
      <c r="AC47" s="229">
        <f t="shared" si="19"/>
        <v>0</v>
      </c>
      <c r="AD47" s="228">
        <f>F47*('Mijn spaartegoed'!E$34/100)</f>
        <v>0</v>
      </c>
      <c r="AE47" s="238">
        <f t="shared" si="5"/>
        <v>0</v>
      </c>
    </row>
    <row r="48" spans="1:31" ht="12.75">
      <c r="A48" s="94">
        <f t="shared" si="6"/>
        <v>2037</v>
      </c>
      <c r="B48" s="94" t="b">
        <f t="shared" si="7"/>
        <v>1</v>
      </c>
      <c r="C48" s="94">
        <f t="shared" si="8"/>
        <v>137</v>
      </c>
      <c r="D48" s="119">
        <f>IF(H47=0,0,IF($B48,D47*(1+$D$5)*(1+VLOOKUP(C47,carriere!$A$2:$D$52,4)),""))</f>
        <v>0</v>
      </c>
      <c r="E48" s="105">
        <f t="shared" si="0"/>
        <v>0</v>
      </c>
      <c r="F48" s="105">
        <f t="shared" si="9"/>
        <v>0</v>
      </c>
      <c r="G48" s="103">
        <f t="shared" si="10"/>
        <v>0</v>
      </c>
      <c r="H48" s="218">
        <f>IF(OR(Rekenblad!B$35&lt;15,Rekenblad!B$35&gt;65),0,IF(Rekenblad!B$15,VLOOKUP(Rekenblad!B$35,Tabel_totaalrecht!A$6:AY$55,maatman!A48-2008,FALSE),VLOOKUP(Rekenblad!B$35,Tabel_basisrecht!A$6:AY$55,maatman!A48-2008,FALSE)))</f>
        <v>0</v>
      </c>
      <c r="I48" s="218">
        <f>H48*Rekenblad!B$24</f>
        <v>0</v>
      </c>
      <c r="J48" s="276">
        <f>I48*('Mijn spaartegoed'!D$17/100)</f>
        <v>0</v>
      </c>
      <c r="K48" s="151">
        <f t="shared" si="1"/>
        <v>0</v>
      </c>
      <c r="L48" s="148">
        <f t="shared" si="20"/>
        <v>0</v>
      </c>
      <c r="M48" s="148">
        <f t="shared" si="21"/>
        <v>0</v>
      </c>
      <c r="N48" s="104">
        <f t="shared" si="11"/>
        <v>0</v>
      </c>
      <c r="O48" s="104">
        <f t="shared" si="22"/>
        <v>0</v>
      </c>
      <c r="P48" s="105">
        <f t="shared" si="12"/>
        <v>0</v>
      </c>
      <c r="Q48" s="105">
        <f t="shared" si="13"/>
        <v>5460</v>
      </c>
      <c r="R48" s="105">
        <f t="shared" si="14"/>
        <v>0</v>
      </c>
      <c r="S48" s="105">
        <f t="shared" si="15"/>
        <v>0</v>
      </c>
      <c r="T48" s="229">
        <f t="shared" si="16"/>
        <v>0</v>
      </c>
      <c r="U48" s="235">
        <f t="shared" si="17"/>
        <v>0</v>
      </c>
      <c r="V48" s="227">
        <f t="shared" si="2"/>
        <v>0</v>
      </c>
      <c r="W48" s="105">
        <f t="shared" si="3"/>
        <v>0</v>
      </c>
      <c r="X48" s="105">
        <f t="shared" si="24"/>
        <v>0</v>
      </c>
      <c r="Y48" s="105">
        <f t="shared" si="23"/>
        <v>0</v>
      </c>
      <c r="Z48" s="223">
        <f>IF(Rekenblad!B55&gt;=50,SUM(J$21:J48)*E48,(SUM(J44:J48)*E48)+(SUM(Y$21:Y43)))</f>
        <v>0</v>
      </c>
      <c r="AA48" s="227">
        <f t="shared" si="4"/>
        <v>0</v>
      </c>
      <c r="AB48" s="105">
        <f t="shared" si="18"/>
        <v>0</v>
      </c>
      <c r="AC48" s="229">
        <f t="shared" si="19"/>
        <v>0</v>
      </c>
      <c r="AD48" s="228">
        <f>F48*('Mijn spaartegoed'!E$34/100)</f>
        <v>0</v>
      </c>
      <c r="AE48" s="238">
        <f t="shared" si="5"/>
        <v>0</v>
      </c>
    </row>
    <row r="49" spans="1:31" ht="12.75">
      <c r="A49" s="94">
        <f t="shared" si="6"/>
        <v>2038</v>
      </c>
      <c r="B49" s="94" t="b">
        <f t="shared" si="7"/>
        <v>1</v>
      </c>
      <c r="C49" s="94">
        <f t="shared" si="8"/>
        <v>138</v>
      </c>
      <c r="D49" s="119">
        <f>IF(H48=0,0,IF($B49,D48*(1+$D$5)*(1+VLOOKUP(C48,carriere!$A$2:$D$52,4)),""))</f>
        <v>0</v>
      </c>
      <c r="E49" s="105">
        <f t="shared" si="0"/>
        <v>0</v>
      </c>
      <c r="F49" s="105">
        <f t="shared" si="9"/>
        <v>0</v>
      </c>
      <c r="G49" s="103">
        <f t="shared" si="10"/>
        <v>0</v>
      </c>
      <c r="H49" s="218">
        <f>IF(OR(Rekenblad!B$35&lt;15,Rekenblad!B$35&gt;65),0,IF(Rekenblad!B$15,VLOOKUP(Rekenblad!B$35,Tabel_totaalrecht!A$6:AY$55,maatman!A49-2008,FALSE),VLOOKUP(Rekenblad!B$35,Tabel_basisrecht!A$6:AY$55,maatman!A49-2008,FALSE)))</f>
        <v>0</v>
      </c>
      <c r="I49" s="218">
        <f>H49*Rekenblad!B$24</f>
        <v>0</v>
      </c>
      <c r="J49" s="276">
        <f>I49*('Mijn spaartegoed'!D$17/100)</f>
        <v>0</v>
      </c>
      <c r="K49" s="151">
        <f t="shared" si="1"/>
        <v>0</v>
      </c>
      <c r="L49" s="148">
        <f t="shared" si="20"/>
        <v>0</v>
      </c>
      <c r="M49" s="148">
        <f t="shared" si="21"/>
        <v>0</v>
      </c>
      <c r="N49" s="104">
        <f t="shared" si="11"/>
        <v>0</v>
      </c>
      <c r="O49" s="104">
        <f t="shared" si="22"/>
        <v>0</v>
      </c>
      <c r="P49" s="105">
        <f t="shared" si="12"/>
        <v>0</v>
      </c>
      <c r="Q49" s="105">
        <f t="shared" si="13"/>
        <v>5655</v>
      </c>
      <c r="R49" s="105">
        <f t="shared" si="14"/>
        <v>0</v>
      </c>
      <c r="S49" s="105">
        <f t="shared" si="15"/>
        <v>0</v>
      </c>
      <c r="T49" s="229">
        <f t="shared" si="16"/>
        <v>0</v>
      </c>
      <c r="U49" s="235">
        <f t="shared" si="17"/>
        <v>0</v>
      </c>
      <c r="V49" s="227">
        <f t="shared" si="2"/>
        <v>0</v>
      </c>
      <c r="W49" s="105">
        <f t="shared" si="3"/>
        <v>0</v>
      </c>
      <c r="X49" s="105">
        <f t="shared" si="24"/>
        <v>0</v>
      </c>
      <c r="Y49" s="105">
        <f t="shared" si="23"/>
        <v>0</v>
      </c>
      <c r="Z49" s="223">
        <f>IF(Rekenblad!B56&gt;=50,SUM(J$21:J49)*E49,(SUM(J45:J49)*E49)+(SUM(Y$21:Y44)))</f>
        <v>0</v>
      </c>
      <c r="AA49" s="227">
        <f t="shared" si="4"/>
        <v>0</v>
      </c>
      <c r="AB49" s="105">
        <f t="shared" si="18"/>
        <v>0</v>
      </c>
      <c r="AC49" s="229">
        <f t="shared" si="19"/>
        <v>0</v>
      </c>
      <c r="AD49" s="228">
        <f>F49*('Mijn spaartegoed'!E$34/100)</f>
        <v>0</v>
      </c>
      <c r="AE49" s="238">
        <f t="shared" si="5"/>
        <v>0</v>
      </c>
    </row>
    <row r="50" spans="1:31" ht="12.75">
      <c r="A50" s="94">
        <f t="shared" si="6"/>
        <v>2039</v>
      </c>
      <c r="B50" s="94" t="b">
        <f t="shared" si="7"/>
        <v>1</v>
      </c>
      <c r="C50" s="94">
        <f t="shared" si="8"/>
        <v>139</v>
      </c>
      <c r="D50" s="119">
        <f>IF(H49=0,0,IF($B50,D49*(1+$D$5)*(1+VLOOKUP(C49,carriere!$A$2:$D$52,4)),""))</f>
        <v>0</v>
      </c>
      <c r="E50" s="105">
        <f t="shared" si="0"/>
        <v>0</v>
      </c>
      <c r="F50" s="105">
        <f t="shared" si="9"/>
        <v>0</v>
      </c>
      <c r="G50" s="103">
        <f t="shared" si="10"/>
        <v>0</v>
      </c>
      <c r="H50" s="218">
        <f>IF(OR(Rekenblad!B$35&lt;15,Rekenblad!B$35&gt;65),0,IF(Rekenblad!B$15,VLOOKUP(Rekenblad!B$35,Tabel_totaalrecht!A$6:AY$55,maatman!A50-2008,FALSE),VLOOKUP(Rekenblad!B$35,Tabel_basisrecht!A$6:AY$55,maatman!A50-2008,FALSE)))</f>
        <v>0</v>
      </c>
      <c r="I50" s="218">
        <f>H50*Rekenblad!B$24</f>
        <v>0</v>
      </c>
      <c r="J50" s="276">
        <f>I50*('Mijn spaartegoed'!D$17/100)</f>
        <v>0</v>
      </c>
      <c r="K50" s="151">
        <f t="shared" si="1"/>
        <v>0</v>
      </c>
      <c r="L50" s="148">
        <f t="shared" si="20"/>
        <v>0</v>
      </c>
      <c r="M50" s="148">
        <f t="shared" si="21"/>
        <v>0</v>
      </c>
      <c r="N50" s="104">
        <f t="shared" si="11"/>
        <v>0</v>
      </c>
      <c r="O50" s="104">
        <f t="shared" si="22"/>
        <v>0</v>
      </c>
      <c r="P50" s="105">
        <f t="shared" si="12"/>
        <v>0</v>
      </c>
      <c r="Q50" s="105">
        <f t="shared" si="13"/>
        <v>5850</v>
      </c>
      <c r="R50" s="105">
        <f t="shared" si="14"/>
        <v>0</v>
      </c>
      <c r="S50" s="105">
        <f t="shared" si="15"/>
        <v>0</v>
      </c>
      <c r="T50" s="229">
        <f t="shared" si="16"/>
        <v>0</v>
      </c>
      <c r="U50" s="235">
        <f t="shared" si="17"/>
        <v>0</v>
      </c>
      <c r="V50" s="227">
        <f t="shared" si="2"/>
        <v>0</v>
      </c>
      <c r="W50" s="105">
        <f t="shared" si="3"/>
        <v>0</v>
      </c>
      <c r="X50" s="105">
        <f t="shared" si="24"/>
        <v>0</v>
      </c>
      <c r="Y50" s="105">
        <f t="shared" si="23"/>
        <v>0</v>
      </c>
      <c r="Z50" s="223">
        <f>IF(Rekenblad!B57&gt;=50,SUM(J$21:J50)*E50,(SUM(J46:J50)*E50)+(SUM(Y$21:Y45)))</f>
        <v>0</v>
      </c>
      <c r="AA50" s="227">
        <f t="shared" si="4"/>
        <v>0</v>
      </c>
      <c r="AB50" s="105">
        <f t="shared" si="18"/>
        <v>0</v>
      </c>
      <c r="AC50" s="229">
        <f t="shared" si="19"/>
        <v>0</v>
      </c>
      <c r="AD50" s="228">
        <f>F50*('Mijn spaartegoed'!E$34/100)</f>
        <v>0</v>
      </c>
      <c r="AE50" s="238">
        <f t="shared" si="5"/>
        <v>0</v>
      </c>
    </row>
    <row r="51" spans="1:31" ht="12.75">
      <c r="A51" s="94">
        <f t="shared" si="6"/>
        <v>2040</v>
      </c>
      <c r="B51" s="94" t="b">
        <f t="shared" si="7"/>
        <v>1</v>
      </c>
      <c r="C51" s="94">
        <f t="shared" si="8"/>
        <v>140</v>
      </c>
      <c r="D51" s="119">
        <f>IF(H50=0,0,IF($B51,D50*(1+$D$5)*(1+VLOOKUP(C50,carriere!$A$2:$D$52,4)),""))</f>
        <v>0</v>
      </c>
      <c r="E51" s="105">
        <f t="shared" si="0"/>
        <v>0</v>
      </c>
      <c r="F51" s="105">
        <f t="shared" si="9"/>
        <v>0</v>
      </c>
      <c r="G51" s="103">
        <f t="shared" si="10"/>
        <v>0</v>
      </c>
      <c r="H51" s="218">
        <f>IF(OR(Rekenblad!B$35&lt;15,Rekenblad!B$35&gt;65),0,IF(Rekenblad!B$15,VLOOKUP(Rekenblad!B$35,Tabel_totaalrecht!A$6:AY$55,maatman!A51-2008,FALSE),VLOOKUP(Rekenblad!B$35,Tabel_basisrecht!A$6:AY$55,maatman!A51-2008,FALSE)))</f>
        <v>0</v>
      </c>
      <c r="I51" s="218">
        <f>H51*Rekenblad!B$24</f>
        <v>0</v>
      </c>
      <c r="J51" s="276">
        <f>I51*('Mijn spaartegoed'!D$17/100)</f>
        <v>0</v>
      </c>
      <c r="K51" s="151">
        <f t="shared" si="1"/>
        <v>0</v>
      </c>
      <c r="L51" s="148">
        <f t="shared" si="20"/>
        <v>0</v>
      </c>
      <c r="M51" s="148">
        <f t="shared" si="21"/>
        <v>0</v>
      </c>
      <c r="N51" s="104">
        <f t="shared" si="11"/>
        <v>0</v>
      </c>
      <c r="O51" s="104">
        <f t="shared" si="22"/>
        <v>0</v>
      </c>
      <c r="P51" s="105">
        <f t="shared" si="12"/>
        <v>0</v>
      </c>
      <c r="Q51" s="105">
        <f t="shared" si="13"/>
        <v>6045</v>
      </c>
      <c r="R51" s="105">
        <f t="shared" si="14"/>
        <v>0</v>
      </c>
      <c r="S51" s="105">
        <f t="shared" si="15"/>
        <v>0</v>
      </c>
      <c r="T51" s="229">
        <f t="shared" si="16"/>
        <v>0</v>
      </c>
      <c r="U51" s="235">
        <f t="shared" si="17"/>
        <v>0</v>
      </c>
      <c r="V51" s="227">
        <f t="shared" si="2"/>
        <v>0</v>
      </c>
      <c r="W51" s="105">
        <f t="shared" si="3"/>
        <v>0</v>
      </c>
      <c r="X51" s="105">
        <f t="shared" si="24"/>
        <v>0</v>
      </c>
      <c r="Y51" s="105">
        <f t="shared" si="23"/>
        <v>0</v>
      </c>
      <c r="Z51" s="223">
        <f>IF(Rekenblad!B58&gt;=50,SUM(J$21:J51)*E51,(SUM(J47:J51)*E51)+(SUM(Y$21:Y46)))</f>
        <v>0</v>
      </c>
      <c r="AA51" s="227">
        <f t="shared" si="4"/>
        <v>0</v>
      </c>
      <c r="AB51" s="105">
        <f t="shared" si="18"/>
        <v>0</v>
      </c>
      <c r="AC51" s="229">
        <f t="shared" si="19"/>
        <v>0</v>
      </c>
      <c r="AD51" s="228">
        <f>F51*('Mijn spaartegoed'!E$34/100)</f>
        <v>0</v>
      </c>
      <c r="AE51" s="238">
        <f t="shared" si="5"/>
        <v>0</v>
      </c>
    </row>
    <row r="52" spans="1:31" ht="12.75">
      <c r="A52" s="94">
        <f t="shared" si="6"/>
        <v>2041</v>
      </c>
      <c r="B52" s="94" t="b">
        <f t="shared" si="7"/>
        <v>1</v>
      </c>
      <c r="C52" s="94">
        <f t="shared" si="8"/>
        <v>141</v>
      </c>
      <c r="D52" s="119">
        <f>IF(H51=0,0,IF($B52,D51*(1+$D$5)*(1+VLOOKUP(C51,carriere!$A$2:$D$52,4)),""))</f>
        <v>0</v>
      </c>
      <c r="E52" s="105">
        <f t="shared" si="0"/>
        <v>0</v>
      </c>
      <c r="F52" s="105">
        <f t="shared" si="9"/>
        <v>0</v>
      </c>
      <c r="G52" s="103">
        <f t="shared" si="10"/>
        <v>0</v>
      </c>
      <c r="H52" s="218">
        <f>IF(OR(Rekenblad!B$35&lt;15,Rekenblad!B$35&gt;65),0,IF(Rekenblad!B$15,VLOOKUP(Rekenblad!B$35,Tabel_totaalrecht!A$6:AY$55,maatman!A52-2008,FALSE),VLOOKUP(Rekenblad!B$35,Tabel_basisrecht!A$6:AY$55,maatman!A52-2008,FALSE)))</f>
        <v>0</v>
      </c>
      <c r="I52" s="218">
        <f>H52*Rekenblad!B$24</f>
        <v>0</v>
      </c>
      <c r="J52" s="276">
        <f>I52*('Mijn spaartegoed'!D$17/100)</f>
        <v>0</v>
      </c>
      <c r="K52" s="151">
        <f t="shared" si="1"/>
        <v>0</v>
      </c>
      <c r="L52" s="148">
        <f t="shared" si="20"/>
        <v>0</v>
      </c>
      <c r="M52" s="148">
        <f t="shared" si="21"/>
        <v>0</v>
      </c>
      <c r="N52" s="104">
        <f t="shared" si="11"/>
        <v>0</v>
      </c>
      <c r="O52" s="104">
        <f t="shared" si="22"/>
        <v>0</v>
      </c>
      <c r="P52" s="105">
        <f t="shared" si="12"/>
        <v>0</v>
      </c>
      <c r="Q52" s="105">
        <f t="shared" si="13"/>
        <v>6240</v>
      </c>
      <c r="R52" s="105">
        <f t="shared" si="14"/>
        <v>0</v>
      </c>
      <c r="S52" s="105">
        <f t="shared" si="15"/>
        <v>0</v>
      </c>
      <c r="T52" s="229">
        <f t="shared" si="16"/>
        <v>0</v>
      </c>
      <c r="U52" s="235">
        <f t="shared" si="17"/>
        <v>0</v>
      </c>
      <c r="V52" s="227">
        <f t="shared" si="2"/>
        <v>0</v>
      </c>
      <c r="W52" s="105">
        <f t="shared" si="3"/>
        <v>0</v>
      </c>
      <c r="X52" s="105">
        <f t="shared" si="24"/>
        <v>0</v>
      </c>
      <c r="Y52" s="105">
        <f t="shared" si="23"/>
        <v>0</v>
      </c>
      <c r="Z52" s="223">
        <f>IF(Rekenblad!B59&gt;=50,SUM(J$21:J52)*E52,(SUM(J48:J52)*E52)+(SUM(Y$21:Y47)))</f>
        <v>0</v>
      </c>
      <c r="AA52" s="227">
        <f t="shared" si="4"/>
        <v>0</v>
      </c>
      <c r="AB52" s="105">
        <f t="shared" si="18"/>
        <v>0</v>
      </c>
      <c r="AC52" s="229">
        <f t="shared" si="19"/>
        <v>0</v>
      </c>
      <c r="AD52" s="228">
        <f>F52*('Mijn spaartegoed'!E$34/100)</f>
        <v>0</v>
      </c>
      <c r="AE52" s="238">
        <f t="shared" si="5"/>
        <v>0</v>
      </c>
    </row>
    <row r="53" spans="1:31" ht="12.75">
      <c r="A53" s="94">
        <f t="shared" si="6"/>
        <v>2042</v>
      </c>
      <c r="B53" s="94" t="b">
        <f t="shared" si="7"/>
        <v>1</v>
      </c>
      <c r="C53" s="94">
        <f t="shared" si="8"/>
        <v>142</v>
      </c>
      <c r="D53" s="119">
        <f>IF(H52=0,0,IF($B53,D52*(1+$D$5)*(1+VLOOKUP(C52,carriere!$A$2:$D$52,4)),""))</f>
        <v>0</v>
      </c>
      <c r="E53" s="105">
        <f aca="true" t="shared" si="25" ref="E53:E80">D53/D$10</f>
        <v>0</v>
      </c>
      <c r="F53" s="105">
        <f t="shared" si="9"/>
        <v>0</v>
      </c>
      <c r="G53" s="103">
        <f t="shared" si="10"/>
        <v>0</v>
      </c>
      <c r="H53" s="218">
        <f>IF(OR(Rekenblad!B$35&lt;15,Rekenblad!B$35&gt;65),0,IF(Rekenblad!B$15,VLOOKUP(Rekenblad!B$35,Tabel_totaalrecht!A$6:AY$55,maatman!A53-2008,FALSE),VLOOKUP(Rekenblad!B$35,Tabel_basisrecht!A$6:AY$55,maatman!A53-2008,FALSE)))</f>
        <v>0</v>
      </c>
      <c r="I53" s="218">
        <f>H53*Rekenblad!B$24</f>
        <v>0</v>
      </c>
      <c r="J53" s="276">
        <f>I53*('Mijn spaartegoed'!D$17/100)</f>
        <v>0</v>
      </c>
      <c r="K53" s="151">
        <f aca="true" t="shared" si="26" ref="K53:K80">J53*E53</f>
        <v>0</v>
      </c>
      <c r="L53" s="148">
        <f t="shared" si="20"/>
        <v>0</v>
      </c>
      <c r="M53" s="148">
        <f t="shared" si="21"/>
        <v>0</v>
      </c>
      <c r="N53" s="104">
        <f t="shared" si="11"/>
        <v>0</v>
      </c>
      <c r="O53" s="104">
        <f t="shared" si="22"/>
        <v>0</v>
      </c>
      <c r="P53" s="105">
        <f t="shared" si="12"/>
        <v>0</v>
      </c>
      <c r="Q53" s="105">
        <f t="shared" si="13"/>
        <v>6435</v>
      </c>
      <c r="R53" s="105">
        <f aca="true" t="shared" si="27" ref="R53:R80">M53-P53</f>
        <v>0</v>
      </c>
      <c r="S53" s="105">
        <f aca="true" t="shared" si="28" ref="S53:S80">IF(P53=0,0,M53-(P53-Q53))</f>
        <v>0</v>
      </c>
      <c r="T53" s="229">
        <f t="shared" si="16"/>
        <v>0</v>
      </c>
      <c r="U53" s="235">
        <f t="shared" si="17"/>
        <v>0</v>
      </c>
      <c r="V53" s="227">
        <f aca="true" t="shared" si="29" ref="V53:V80">U53*D$8</f>
        <v>0</v>
      </c>
      <c r="W53" s="105">
        <f t="shared" si="3"/>
        <v>0</v>
      </c>
      <c r="X53" s="105">
        <f t="shared" si="24"/>
        <v>0</v>
      </c>
      <c r="Y53" s="105">
        <f t="shared" si="23"/>
        <v>0</v>
      </c>
      <c r="Z53" s="223">
        <f>IF(Rekenblad!B60&gt;=50,SUM(J$21:J53)*E53,(SUM(J49:J53)*E53)+(SUM(Y$21:Y48)))</f>
        <v>0</v>
      </c>
      <c r="AA53" s="227">
        <f aca="true" t="shared" si="30" ref="AA53:AA84">Z53*D$8</f>
        <v>0</v>
      </c>
      <c r="AB53" s="105">
        <f t="shared" si="18"/>
        <v>0</v>
      </c>
      <c r="AC53" s="229">
        <f t="shared" si="19"/>
        <v>0</v>
      </c>
      <c r="AD53" s="228">
        <f>F53*('Mijn spaartegoed'!E$34/100)</f>
        <v>0</v>
      </c>
      <c r="AE53" s="238">
        <f aca="true" t="shared" si="31" ref="AE53:AE84">IF(AD53=0,0,S53/AD53)</f>
        <v>0</v>
      </c>
    </row>
    <row r="54" spans="1:31" ht="12.75">
      <c r="A54" s="94">
        <f aca="true" t="shared" si="32" ref="A54:A80">IF($B54,A53+1,"")</f>
        <v>2043</v>
      </c>
      <c r="B54" s="94" t="b">
        <f aca="true" t="shared" si="33" ref="B54:B80">C53&lt;$D$4-1</f>
        <v>1</v>
      </c>
      <c r="C54" s="94">
        <f aca="true" t="shared" si="34" ref="C54:C80">IF($B54,C53+1,"")</f>
        <v>143</v>
      </c>
      <c r="D54" s="119">
        <f>IF(H53=0,0,IF($B54,D53*(1+$D$5)*(1+VLOOKUP(C53,carriere!$A$2:$D$52,4)),""))</f>
        <v>0</v>
      </c>
      <c r="E54" s="105">
        <f t="shared" si="25"/>
        <v>0</v>
      </c>
      <c r="F54" s="105">
        <f t="shared" si="9"/>
        <v>0</v>
      </c>
      <c r="G54" s="103">
        <f aca="true" t="shared" si="35" ref="G54:G80">IF($B54,12*D54,"")</f>
        <v>0</v>
      </c>
      <c r="H54" s="218">
        <f>IF(OR(Rekenblad!B$35&lt;15,Rekenblad!B$35&gt;65),0,IF(Rekenblad!B$15,VLOOKUP(Rekenblad!B$35,Tabel_totaalrecht!A$6:AY$55,maatman!A54-2008,FALSE),VLOOKUP(Rekenblad!B$35,Tabel_basisrecht!A$6:AY$55,maatman!A54-2008,FALSE)))</f>
        <v>0</v>
      </c>
      <c r="I54" s="218">
        <f>H54*Rekenblad!B$24</f>
        <v>0</v>
      </c>
      <c r="J54" s="276">
        <f>I54*('Mijn spaartegoed'!D$17/100)</f>
        <v>0</v>
      </c>
      <c r="K54" s="151">
        <f t="shared" si="26"/>
        <v>0</v>
      </c>
      <c r="L54" s="148">
        <f t="shared" si="20"/>
        <v>0</v>
      </c>
      <c r="M54" s="148">
        <f t="shared" si="21"/>
        <v>0</v>
      </c>
      <c r="N54" s="104">
        <f aca="true" t="shared" si="36" ref="N54:N80">IF($B54,N53+H54,"")</f>
        <v>0</v>
      </c>
      <c r="O54" s="104">
        <f t="shared" si="22"/>
        <v>0</v>
      </c>
      <c r="P54" s="105">
        <f t="shared" si="12"/>
        <v>0</v>
      </c>
      <c r="Q54" s="105">
        <f aca="true" t="shared" si="37" ref="Q54:Q80">Q53+D$9</f>
        <v>6630</v>
      </c>
      <c r="R54" s="105">
        <f t="shared" si="27"/>
        <v>0</v>
      </c>
      <c r="S54" s="105">
        <f t="shared" si="28"/>
        <v>0</v>
      </c>
      <c r="T54" s="229">
        <f t="shared" si="16"/>
        <v>0</v>
      </c>
      <c r="U54" s="235">
        <f t="shared" si="17"/>
        <v>0</v>
      </c>
      <c r="V54" s="227">
        <f t="shared" si="29"/>
        <v>0</v>
      </c>
      <c r="W54" s="105">
        <f t="shared" si="3"/>
        <v>0</v>
      </c>
      <c r="X54" s="105">
        <f t="shared" si="24"/>
        <v>0</v>
      </c>
      <c r="Y54" s="105">
        <f t="shared" si="23"/>
        <v>0</v>
      </c>
      <c r="Z54" s="223">
        <f>IF(Rekenblad!B61&gt;=50,SUM(J$21:J54)*E54,(SUM(J50:J54)*E54)+(SUM(Y$21:Y49)))</f>
        <v>0</v>
      </c>
      <c r="AA54" s="227">
        <f t="shared" si="30"/>
        <v>0</v>
      </c>
      <c r="AB54" s="105">
        <f t="shared" si="18"/>
        <v>0</v>
      </c>
      <c r="AC54" s="229">
        <f t="shared" si="19"/>
        <v>0</v>
      </c>
      <c r="AD54" s="228">
        <f>F54*('Mijn spaartegoed'!E$34/100)</f>
        <v>0</v>
      </c>
      <c r="AE54" s="238">
        <f t="shared" si="31"/>
        <v>0</v>
      </c>
    </row>
    <row r="55" spans="1:31" ht="12.75">
      <c r="A55" s="94">
        <f t="shared" si="32"/>
        <v>2044</v>
      </c>
      <c r="B55" s="94" t="b">
        <f t="shared" si="33"/>
        <v>1</v>
      </c>
      <c r="C55" s="94">
        <f t="shared" si="34"/>
        <v>144</v>
      </c>
      <c r="D55" s="119">
        <f>IF(H54=0,0,IF($B55,D54*(1+$D$5)*(1+VLOOKUP(C54,carriere!$A$2:$D$52,4)),""))</f>
        <v>0</v>
      </c>
      <c r="E55" s="105">
        <f t="shared" si="25"/>
        <v>0</v>
      </c>
      <c r="F55" s="105">
        <f t="shared" si="9"/>
        <v>0</v>
      </c>
      <c r="G55" s="103">
        <f t="shared" si="35"/>
        <v>0</v>
      </c>
      <c r="H55" s="218">
        <f>IF(OR(Rekenblad!B$35&lt;15,Rekenblad!B$35&gt;65),0,IF(Rekenblad!B$15,VLOOKUP(Rekenblad!B$35,Tabel_totaalrecht!A$6:AY$55,maatman!A55-2008,FALSE),VLOOKUP(Rekenblad!B$35,Tabel_basisrecht!A$6:AY$55,maatman!A55-2008,FALSE)))</f>
        <v>0</v>
      </c>
      <c r="I55" s="218">
        <f>H55*Rekenblad!B$24</f>
        <v>0</v>
      </c>
      <c r="J55" s="276">
        <f>I55*('Mijn spaartegoed'!D$17/100)</f>
        <v>0</v>
      </c>
      <c r="K55" s="151">
        <f t="shared" si="26"/>
        <v>0</v>
      </c>
      <c r="L55" s="148">
        <f t="shared" si="20"/>
        <v>0</v>
      </c>
      <c r="M55" s="148">
        <f t="shared" si="21"/>
        <v>0</v>
      </c>
      <c r="N55" s="104">
        <f t="shared" si="36"/>
        <v>0</v>
      </c>
      <c r="O55" s="104">
        <f t="shared" si="22"/>
        <v>0</v>
      </c>
      <c r="P55" s="105">
        <f t="shared" si="12"/>
        <v>0</v>
      </c>
      <c r="Q55" s="105">
        <f t="shared" si="37"/>
        <v>6825</v>
      </c>
      <c r="R55" s="105">
        <f t="shared" si="27"/>
        <v>0</v>
      </c>
      <c r="S55" s="105">
        <f t="shared" si="28"/>
        <v>0</v>
      </c>
      <c r="T55" s="229">
        <f t="shared" si="16"/>
        <v>0</v>
      </c>
      <c r="U55" s="235">
        <f t="shared" si="17"/>
        <v>0</v>
      </c>
      <c r="V55" s="227">
        <f t="shared" si="29"/>
        <v>0</v>
      </c>
      <c r="W55" s="105">
        <f t="shared" si="3"/>
        <v>0</v>
      </c>
      <c r="X55" s="105">
        <f t="shared" si="24"/>
        <v>0</v>
      </c>
      <c r="Y55" s="105">
        <f t="shared" si="23"/>
        <v>0</v>
      </c>
      <c r="Z55" s="223">
        <f>IF(Rekenblad!B62&gt;=50,SUM(J$21:J55)*E55,(SUM(J51:J55)*E55)+(SUM(Y$21:Y50)))</f>
        <v>0</v>
      </c>
      <c r="AA55" s="227">
        <f t="shared" si="30"/>
        <v>0</v>
      </c>
      <c r="AB55" s="105">
        <f t="shared" si="18"/>
        <v>0</v>
      </c>
      <c r="AC55" s="229">
        <f t="shared" si="19"/>
        <v>0</v>
      </c>
      <c r="AD55" s="228">
        <f>F55*('Mijn spaartegoed'!E$34/100)</f>
        <v>0</v>
      </c>
      <c r="AE55" s="238">
        <f t="shared" si="31"/>
        <v>0</v>
      </c>
    </row>
    <row r="56" spans="1:31" ht="12.75">
      <c r="A56" s="94">
        <f t="shared" si="32"/>
        <v>2045</v>
      </c>
      <c r="B56" s="94" t="b">
        <f t="shared" si="33"/>
        <v>1</v>
      </c>
      <c r="C56" s="94">
        <f t="shared" si="34"/>
        <v>145</v>
      </c>
      <c r="D56" s="119">
        <f>IF(H55=0,0,IF($B56,D55*(1+$D$5)*(1+VLOOKUP(C55,carriere!$A$2:$D$52,4)),""))</f>
        <v>0</v>
      </c>
      <c r="E56" s="105">
        <f t="shared" si="25"/>
        <v>0</v>
      </c>
      <c r="F56" s="105">
        <f t="shared" si="9"/>
        <v>0</v>
      </c>
      <c r="G56" s="103">
        <f t="shared" si="35"/>
        <v>0</v>
      </c>
      <c r="H56" s="218">
        <f>IF(OR(Rekenblad!B$35&lt;15,Rekenblad!B$35&gt;65),0,IF(Rekenblad!B$15,VLOOKUP(Rekenblad!B$35,Tabel_totaalrecht!A$6:AY$55,maatman!A56-2008,FALSE),VLOOKUP(Rekenblad!B$35,Tabel_basisrecht!A$6:AY$55,maatman!A56-2008,FALSE)))</f>
        <v>0</v>
      </c>
      <c r="I56" s="218">
        <f>H56*Rekenblad!B$24</f>
        <v>0</v>
      </c>
      <c r="J56" s="276">
        <f>I56*('Mijn spaartegoed'!D$17/100)</f>
        <v>0</v>
      </c>
      <c r="K56" s="151">
        <f t="shared" si="26"/>
        <v>0</v>
      </c>
      <c r="L56" s="148">
        <f t="shared" si="20"/>
        <v>0</v>
      </c>
      <c r="M56" s="148">
        <f t="shared" si="21"/>
        <v>0</v>
      </c>
      <c r="N56" s="104">
        <f t="shared" si="36"/>
        <v>0</v>
      </c>
      <c r="O56" s="104">
        <f t="shared" si="22"/>
        <v>0</v>
      </c>
      <c r="P56" s="105">
        <f t="shared" si="12"/>
        <v>0</v>
      </c>
      <c r="Q56" s="105">
        <f t="shared" si="37"/>
        <v>7020</v>
      </c>
      <c r="R56" s="105">
        <f t="shared" si="27"/>
        <v>0</v>
      </c>
      <c r="S56" s="105">
        <f t="shared" si="28"/>
        <v>0</v>
      </c>
      <c r="T56" s="229">
        <f t="shared" si="16"/>
        <v>0</v>
      </c>
      <c r="U56" s="235">
        <f t="shared" si="17"/>
        <v>0</v>
      </c>
      <c r="V56" s="227">
        <f t="shared" si="29"/>
        <v>0</v>
      </c>
      <c r="W56" s="105">
        <f t="shared" si="3"/>
        <v>0</v>
      </c>
      <c r="X56" s="105">
        <f t="shared" si="24"/>
        <v>0</v>
      </c>
      <c r="Y56" s="105">
        <f t="shared" si="23"/>
        <v>0</v>
      </c>
      <c r="Z56" s="223">
        <f>IF(Rekenblad!B63&gt;=50,SUM(J$21:J56)*E56,(SUM(J52:J56)*E56)+(SUM(Y$21:Y51)))</f>
        <v>0</v>
      </c>
      <c r="AA56" s="227">
        <f t="shared" si="30"/>
        <v>0</v>
      </c>
      <c r="AB56" s="105">
        <f t="shared" si="18"/>
        <v>0</v>
      </c>
      <c r="AC56" s="229">
        <f t="shared" si="19"/>
        <v>0</v>
      </c>
      <c r="AD56" s="228">
        <f>F56*('Mijn spaartegoed'!E$34/100)</f>
        <v>0</v>
      </c>
      <c r="AE56" s="238">
        <f t="shared" si="31"/>
        <v>0</v>
      </c>
    </row>
    <row r="57" spans="1:31" ht="12.75">
      <c r="A57" s="94">
        <f t="shared" si="32"/>
        <v>2046</v>
      </c>
      <c r="B57" s="94" t="b">
        <f t="shared" si="33"/>
        <v>1</v>
      </c>
      <c r="C57" s="94">
        <f t="shared" si="34"/>
        <v>146</v>
      </c>
      <c r="D57" s="119">
        <f>IF(H56=0,0,IF($B57,D56*(1+$D$5)*(1+VLOOKUP(C56,carriere!$A$2:$D$52,4)),""))</f>
        <v>0</v>
      </c>
      <c r="E57" s="105">
        <f t="shared" si="25"/>
        <v>0</v>
      </c>
      <c r="F57" s="105">
        <f t="shared" si="9"/>
        <v>0</v>
      </c>
      <c r="G57" s="103">
        <f t="shared" si="35"/>
        <v>0</v>
      </c>
      <c r="H57" s="218">
        <f>IF(OR(Rekenblad!B$35&lt;15,Rekenblad!B$35&gt;65),0,IF(Rekenblad!B$15,VLOOKUP(Rekenblad!B$35,Tabel_totaalrecht!A$6:AY$55,maatman!A57-2008,FALSE),VLOOKUP(Rekenblad!B$35,Tabel_basisrecht!A$6:AY$55,maatman!A57-2008,FALSE)))</f>
        <v>0</v>
      </c>
      <c r="I57" s="218">
        <f>H57*Rekenblad!B$24</f>
        <v>0</v>
      </c>
      <c r="J57" s="276">
        <f>I57*('Mijn spaartegoed'!D$17/100)</f>
        <v>0</v>
      </c>
      <c r="K57" s="151">
        <f t="shared" si="26"/>
        <v>0</v>
      </c>
      <c r="L57" s="148">
        <f t="shared" si="20"/>
        <v>0</v>
      </c>
      <c r="M57" s="148">
        <f t="shared" si="21"/>
        <v>0</v>
      </c>
      <c r="N57" s="104">
        <f t="shared" si="36"/>
        <v>0</v>
      </c>
      <c r="O57" s="104">
        <f t="shared" si="22"/>
        <v>0</v>
      </c>
      <c r="P57" s="105">
        <f t="shared" si="12"/>
        <v>0</v>
      </c>
      <c r="Q57" s="105">
        <f t="shared" si="37"/>
        <v>7215</v>
      </c>
      <c r="R57" s="105">
        <f t="shared" si="27"/>
        <v>0</v>
      </c>
      <c r="S57" s="105">
        <f t="shared" si="28"/>
        <v>0</v>
      </c>
      <c r="T57" s="229">
        <f t="shared" si="16"/>
        <v>0</v>
      </c>
      <c r="U57" s="235">
        <f t="shared" si="17"/>
        <v>0</v>
      </c>
      <c r="V57" s="227">
        <f t="shared" si="29"/>
        <v>0</v>
      </c>
      <c r="W57" s="105">
        <f t="shared" si="3"/>
        <v>0</v>
      </c>
      <c r="X57" s="105">
        <f t="shared" si="24"/>
        <v>0</v>
      </c>
      <c r="Y57" s="105">
        <f t="shared" si="23"/>
        <v>0</v>
      </c>
      <c r="Z57" s="223">
        <f>IF(Rekenblad!B64&gt;=50,SUM(J$21:J57)*E57,(SUM(J53:J57)*E57)+(SUM(Y$21:Y52)))</f>
        <v>0</v>
      </c>
      <c r="AA57" s="227">
        <f t="shared" si="30"/>
        <v>0</v>
      </c>
      <c r="AB57" s="105">
        <f t="shared" si="18"/>
        <v>0</v>
      </c>
      <c r="AC57" s="229">
        <f t="shared" si="19"/>
        <v>0</v>
      </c>
      <c r="AD57" s="228">
        <f>F57*('Mijn spaartegoed'!E$34/100)</f>
        <v>0</v>
      </c>
      <c r="AE57" s="238">
        <f t="shared" si="31"/>
        <v>0</v>
      </c>
    </row>
    <row r="58" spans="1:31" ht="12.75">
      <c r="A58" s="94">
        <f t="shared" si="32"/>
        <v>2047</v>
      </c>
      <c r="B58" s="94" t="b">
        <f t="shared" si="33"/>
        <v>1</v>
      </c>
      <c r="C58" s="94">
        <f t="shared" si="34"/>
        <v>147</v>
      </c>
      <c r="D58" s="119">
        <f>IF(H57=0,0,IF($B58,D57*(1+$D$5)*(1+VLOOKUP(C57,carriere!$A$2:$D$52,4)),""))</f>
        <v>0</v>
      </c>
      <c r="E58" s="105">
        <f t="shared" si="25"/>
        <v>0</v>
      </c>
      <c r="F58" s="105">
        <f t="shared" si="9"/>
        <v>0</v>
      </c>
      <c r="G58" s="103">
        <f t="shared" si="35"/>
        <v>0</v>
      </c>
      <c r="H58" s="218">
        <f>IF(OR(Rekenblad!B$35&lt;15,Rekenblad!B$35&gt;65),0,IF(Rekenblad!B$15,VLOOKUP(Rekenblad!B$35,Tabel_totaalrecht!A$6:AY$55,maatman!A58-2008,FALSE),VLOOKUP(Rekenblad!B$35,Tabel_basisrecht!A$6:AY$55,maatman!A58-2008,FALSE)))</f>
        <v>0</v>
      </c>
      <c r="I58" s="218">
        <f>H58*Rekenblad!B$24</f>
        <v>0</v>
      </c>
      <c r="J58" s="276">
        <f>I58*('Mijn spaartegoed'!D$17/100)</f>
        <v>0</v>
      </c>
      <c r="K58" s="151">
        <f t="shared" si="26"/>
        <v>0</v>
      </c>
      <c r="L58" s="148">
        <f t="shared" si="20"/>
        <v>0</v>
      </c>
      <c r="M58" s="148">
        <f t="shared" si="21"/>
        <v>0</v>
      </c>
      <c r="N58" s="104">
        <f t="shared" si="36"/>
        <v>0</v>
      </c>
      <c r="O58" s="104">
        <f t="shared" si="22"/>
        <v>0</v>
      </c>
      <c r="P58" s="105">
        <f t="shared" si="12"/>
        <v>0</v>
      </c>
      <c r="Q58" s="105">
        <f t="shared" si="37"/>
        <v>7410</v>
      </c>
      <c r="R58" s="105">
        <f t="shared" si="27"/>
        <v>0</v>
      </c>
      <c r="S58" s="105">
        <f t="shared" si="28"/>
        <v>0</v>
      </c>
      <c r="T58" s="229">
        <f t="shared" si="16"/>
        <v>0</v>
      </c>
      <c r="U58" s="235">
        <f t="shared" si="17"/>
        <v>0</v>
      </c>
      <c r="V58" s="227">
        <f t="shared" si="29"/>
        <v>0</v>
      </c>
      <c r="W58" s="105">
        <f t="shared" si="3"/>
        <v>0</v>
      </c>
      <c r="X58" s="105">
        <f t="shared" si="24"/>
        <v>0</v>
      </c>
      <c r="Y58" s="105">
        <f t="shared" si="23"/>
        <v>0</v>
      </c>
      <c r="Z58" s="223">
        <f>IF(Rekenblad!B65&gt;=50,SUM(J$21:J58)*E58,(SUM(J54:J58)*E58)+(SUM(Y$21:Y53)))</f>
        <v>0</v>
      </c>
      <c r="AA58" s="227">
        <f t="shared" si="30"/>
        <v>0</v>
      </c>
      <c r="AB58" s="105">
        <f t="shared" si="18"/>
        <v>0</v>
      </c>
      <c r="AC58" s="229">
        <f t="shared" si="19"/>
        <v>0</v>
      </c>
      <c r="AD58" s="228">
        <f>F58*('Mijn spaartegoed'!E$34/100)</f>
        <v>0</v>
      </c>
      <c r="AE58" s="238">
        <f t="shared" si="31"/>
        <v>0</v>
      </c>
    </row>
    <row r="59" spans="1:31" ht="12.75">
      <c r="A59" s="94">
        <f t="shared" si="32"/>
        <v>2048</v>
      </c>
      <c r="B59" s="94" t="b">
        <f t="shared" si="33"/>
        <v>1</v>
      </c>
      <c r="C59" s="94">
        <f t="shared" si="34"/>
        <v>148</v>
      </c>
      <c r="D59" s="119">
        <f>IF(H58=0,0,IF($B59,D58*(1+$D$5)*(1+VLOOKUP(C58,carriere!$A$2:$D$52,4)),""))</f>
        <v>0</v>
      </c>
      <c r="E59" s="105">
        <f t="shared" si="25"/>
        <v>0</v>
      </c>
      <c r="F59" s="105">
        <f t="shared" si="9"/>
        <v>0</v>
      </c>
      <c r="G59" s="103">
        <f t="shared" si="35"/>
        <v>0</v>
      </c>
      <c r="H59" s="218">
        <f>IF(OR(Rekenblad!B$35&lt;15,Rekenblad!B$35&gt;65),0,IF(Rekenblad!B$15,VLOOKUP(Rekenblad!B$35,Tabel_totaalrecht!A$6:AY$55,maatman!A59-2008,FALSE),VLOOKUP(Rekenblad!B$35,Tabel_basisrecht!A$6:AY$55,maatman!A59-2008,FALSE)))</f>
        <v>0</v>
      </c>
      <c r="I59" s="218">
        <f>H59*Rekenblad!B$24</f>
        <v>0</v>
      </c>
      <c r="J59" s="276">
        <f>I59*('Mijn spaartegoed'!D$17/100)</f>
        <v>0</v>
      </c>
      <c r="K59" s="151">
        <f t="shared" si="26"/>
        <v>0</v>
      </c>
      <c r="L59" s="148">
        <f t="shared" si="20"/>
        <v>0</v>
      </c>
      <c r="M59" s="148">
        <f t="shared" si="21"/>
        <v>0</v>
      </c>
      <c r="N59" s="104">
        <f t="shared" si="36"/>
        <v>0</v>
      </c>
      <c r="O59" s="104">
        <f t="shared" si="22"/>
        <v>0</v>
      </c>
      <c r="P59" s="105">
        <f t="shared" si="12"/>
        <v>0</v>
      </c>
      <c r="Q59" s="105">
        <f t="shared" si="37"/>
        <v>7605</v>
      </c>
      <c r="R59" s="105">
        <f t="shared" si="27"/>
        <v>0</v>
      </c>
      <c r="S59" s="105">
        <f t="shared" si="28"/>
        <v>0</v>
      </c>
      <c r="T59" s="229">
        <f t="shared" si="16"/>
        <v>0</v>
      </c>
      <c r="U59" s="235">
        <f t="shared" si="17"/>
        <v>0</v>
      </c>
      <c r="V59" s="227">
        <f t="shared" si="29"/>
        <v>0</v>
      </c>
      <c r="W59" s="105">
        <f t="shared" si="3"/>
        <v>0</v>
      </c>
      <c r="X59" s="105">
        <f t="shared" si="24"/>
        <v>0</v>
      </c>
      <c r="Y59" s="105">
        <f t="shared" si="23"/>
        <v>0</v>
      </c>
      <c r="Z59" s="223">
        <f>IF(Rekenblad!B66&gt;=50,SUM(J$21:J59)*E59,(SUM(J55:J59)*E59)+(SUM(Y$21:Y54)))</f>
        <v>0</v>
      </c>
      <c r="AA59" s="227">
        <f t="shared" si="30"/>
        <v>0</v>
      </c>
      <c r="AB59" s="105">
        <f t="shared" si="18"/>
        <v>0</v>
      </c>
      <c r="AC59" s="229">
        <f t="shared" si="19"/>
        <v>0</v>
      </c>
      <c r="AD59" s="228">
        <f>F59*('Mijn spaartegoed'!E$34/100)</f>
        <v>0</v>
      </c>
      <c r="AE59" s="238">
        <f t="shared" si="31"/>
        <v>0</v>
      </c>
    </row>
    <row r="60" spans="1:31" ht="12.75">
      <c r="A60" s="94">
        <f t="shared" si="32"/>
        <v>2049</v>
      </c>
      <c r="B60" s="94" t="b">
        <f t="shared" si="33"/>
        <v>1</v>
      </c>
      <c r="C60" s="94">
        <f t="shared" si="34"/>
        <v>149</v>
      </c>
      <c r="D60" s="119">
        <f>IF(H59=0,0,IF($B60,D59*(1+$D$5)*(1+VLOOKUP(C59,carriere!$A$2:$D$52,4)),""))</f>
        <v>0</v>
      </c>
      <c r="E60" s="105">
        <f t="shared" si="25"/>
        <v>0</v>
      </c>
      <c r="F60" s="105">
        <f t="shared" si="9"/>
        <v>0</v>
      </c>
      <c r="G60" s="103">
        <f t="shared" si="35"/>
        <v>0</v>
      </c>
      <c r="H60" s="218">
        <f>IF(OR(Rekenblad!B$35&lt;15,Rekenblad!B$35&gt;65),0,IF(Rekenblad!B$15,VLOOKUP(Rekenblad!B$35,Tabel_totaalrecht!A$6:AY$55,maatman!A60-2008,FALSE),VLOOKUP(Rekenblad!B$35,Tabel_basisrecht!A$6:AY$55,maatman!A60-2008,FALSE)))</f>
        <v>0</v>
      </c>
      <c r="I60" s="218">
        <f>H60*Rekenblad!B$24</f>
        <v>0</v>
      </c>
      <c r="J60" s="276">
        <f>I60*('Mijn spaartegoed'!D$17/100)</f>
        <v>0</v>
      </c>
      <c r="K60" s="151">
        <f t="shared" si="26"/>
        <v>0</v>
      </c>
      <c r="L60" s="148">
        <f t="shared" si="20"/>
        <v>0</v>
      </c>
      <c r="M60" s="148">
        <f t="shared" si="21"/>
        <v>0</v>
      </c>
      <c r="N60" s="104">
        <f t="shared" si="36"/>
        <v>0</v>
      </c>
      <c r="O60" s="104">
        <f t="shared" si="22"/>
        <v>0</v>
      </c>
      <c r="P60" s="105">
        <f t="shared" si="12"/>
        <v>0</v>
      </c>
      <c r="Q60" s="105">
        <f t="shared" si="37"/>
        <v>7800</v>
      </c>
      <c r="R60" s="105">
        <f t="shared" si="27"/>
        <v>0</v>
      </c>
      <c r="S60" s="105">
        <f t="shared" si="28"/>
        <v>0</v>
      </c>
      <c r="T60" s="229">
        <f t="shared" si="16"/>
        <v>0</v>
      </c>
      <c r="U60" s="235">
        <f t="shared" si="17"/>
        <v>0</v>
      </c>
      <c r="V60" s="227">
        <f t="shared" si="29"/>
        <v>0</v>
      </c>
      <c r="W60" s="105">
        <f t="shared" si="3"/>
        <v>0</v>
      </c>
      <c r="X60" s="105">
        <f t="shared" si="24"/>
        <v>0</v>
      </c>
      <c r="Y60" s="105">
        <f t="shared" si="23"/>
        <v>0</v>
      </c>
      <c r="Z60" s="223">
        <f>IF(Rekenblad!B67&gt;=50,SUM(J$21:J60)*E60,(SUM(J56:J60)*E60)+(SUM(Y$21:Y55)))</f>
        <v>0</v>
      </c>
      <c r="AA60" s="227">
        <f t="shared" si="30"/>
        <v>0</v>
      </c>
      <c r="AB60" s="105">
        <f t="shared" si="18"/>
        <v>0</v>
      </c>
      <c r="AC60" s="229">
        <f t="shared" si="19"/>
        <v>0</v>
      </c>
      <c r="AD60" s="228">
        <f>F60*('Mijn spaartegoed'!E$34/100)</f>
        <v>0</v>
      </c>
      <c r="AE60" s="238">
        <f t="shared" si="31"/>
        <v>0</v>
      </c>
    </row>
    <row r="61" spans="1:31" ht="12.75">
      <c r="A61" s="94">
        <f t="shared" si="32"/>
        <v>2050</v>
      </c>
      <c r="B61" s="94" t="b">
        <f t="shared" si="33"/>
        <v>1</v>
      </c>
      <c r="C61" s="94">
        <f t="shared" si="34"/>
        <v>150</v>
      </c>
      <c r="D61" s="119">
        <f>IF(H60=0,0,IF($B61,D60*(1+$D$5)*(1+VLOOKUP(C60,carriere!$A$2:$D$52,4)),""))</f>
        <v>0</v>
      </c>
      <c r="E61" s="105">
        <f t="shared" si="25"/>
        <v>0</v>
      </c>
      <c r="F61" s="105">
        <f t="shared" si="9"/>
        <v>0</v>
      </c>
      <c r="G61" s="103">
        <f t="shared" si="35"/>
        <v>0</v>
      </c>
      <c r="H61" s="218">
        <f>IF(OR(Rekenblad!B$35&lt;15,Rekenblad!B$35&gt;65),0,IF(Rekenblad!B$15,VLOOKUP(Rekenblad!B$35,Tabel_totaalrecht!A$6:AY$55,maatman!A61-2008,FALSE),VLOOKUP(Rekenblad!B$35,Tabel_basisrecht!A$6:AY$55,maatman!A61-2008,FALSE)))</f>
        <v>0</v>
      </c>
      <c r="I61" s="218">
        <f>H61*Rekenblad!B$24</f>
        <v>0</v>
      </c>
      <c r="J61" s="276">
        <f>I61*('Mijn spaartegoed'!D$17/100)</f>
        <v>0</v>
      </c>
      <c r="K61" s="151">
        <f t="shared" si="26"/>
        <v>0</v>
      </c>
      <c r="L61" s="148">
        <f t="shared" si="20"/>
        <v>0</v>
      </c>
      <c r="M61" s="148">
        <f t="shared" si="21"/>
        <v>0</v>
      </c>
      <c r="N61" s="104">
        <f t="shared" si="36"/>
        <v>0</v>
      </c>
      <c r="O61" s="104">
        <f t="shared" si="22"/>
        <v>0</v>
      </c>
      <c r="P61" s="105">
        <f t="shared" si="12"/>
        <v>0</v>
      </c>
      <c r="Q61" s="105">
        <f t="shared" si="37"/>
        <v>7995</v>
      </c>
      <c r="R61" s="105">
        <f t="shared" si="27"/>
        <v>0</v>
      </c>
      <c r="S61" s="105">
        <f t="shared" si="28"/>
        <v>0</v>
      </c>
      <c r="T61" s="229">
        <f t="shared" si="16"/>
        <v>0</v>
      </c>
      <c r="U61" s="235">
        <f t="shared" si="17"/>
        <v>0</v>
      </c>
      <c r="V61" s="227">
        <f t="shared" si="29"/>
        <v>0</v>
      </c>
      <c r="W61" s="105">
        <f t="shared" si="3"/>
        <v>0</v>
      </c>
      <c r="X61" s="105">
        <f t="shared" si="24"/>
        <v>0</v>
      </c>
      <c r="Y61" s="105">
        <f t="shared" si="23"/>
        <v>0</v>
      </c>
      <c r="Z61" s="223">
        <f>IF(Rekenblad!B68&gt;=50,SUM(J$21:J61)*E61,(SUM(J57:J61)*E61)+(SUM(Y$21:Y56)))</f>
        <v>0</v>
      </c>
      <c r="AA61" s="227">
        <f t="shared" si="30"/>
        <v>0</v>
      </c>
      <c r="AB61" s="105">
        <f t="shared" si="18"/>
        <v>0</v>
      </c>
      <c r="AC61" s="229">
        <f t="shared" si="19"/>
        <v>0</v>
      </c>
      <c r="AD61" s="228">
        <f>F61*('Mijn spaartegoed'!E$34/100)</f>
        <v>0</v>
      </c>
      <c r="AE61" s="238">
        <f t="shared" si="31"/>
        <v>0</v>
      </c>
    </row>
    <row r="62" spans="1:31" ht="12.75">
      <c r="A62" s="94">
        <f t="shared" si="32"/>
        <v>2051</v>
      </c>
      <c r="B62" s="94" t="b">
        <f t="shared" si="33"/>
        <v>1</v>
      </c>
      <c r="C62" s="94">
        <f t="shared" si="34"/>
        <v>151</v>
      </c>
      <c r="D62" s="119">
        <f>IF(H61=0,0,IF($B62,D61*(1+$D$5)*(1+VLOOKUP(C61,carriere!$A$2:$D$52,4)),""))</f>
        <v>0</v>
      </c>
      <c r="E62" s="105">
        <f t="shared" si="25"/>
        <v>0</v>
      </c>
      <c r="F62" s="105">
        <f t="shared" si="9"/>
        <v>0</v>
      </c>
      <c r="G62" s="103">
        <f t="shared" si="35"/>
        <v>0</v>
      </c>
      <c r="H62" s="218">
        <f>IF(OR(Rekenblad!B$35&lt;15,Rekenblad!B$35&gt;65),0,IF(Rekenblad!B$15,VLOOKUP(Rekenblad!B$35,Tabel_totaalrecht!A$6:AY$55,maatman!A62-2008,FALSE),VLOOKUP(Rekenblad!B$35,Tabel_basisrecht!A$6:AY$55,maatman!A62-2008,FALSE)))</f>
        <v>0</v>
      </c>
      <c r="I62" s="218">
        <f>H62*Rekenblad!B$24</f>
        <v>0</v>
      </c>
      <c r="J62" s="276">
        <f>I62*('Mijn spaartegoed'!D$17/100)</f>
        <v>0</v>
      </c>
      <c r="K62" s="151">
        <f t="shared" si="26"/>
        <v>0</v>
      </c>
      <c r="L62" s="148">
        <f t="shared" si="20"/>
        <v>0</v>
      </c>
      <c r="M62" s="148">
        <f t="shared" si="21"/>
        <v>0</v>
      </c>
      <c r="N62" s="104">
        <f t="shared" si="36"/>
        <v>0</v>
      </c>
      <c r="O62" s="104">
        <f t="shared" si="22"/>
        <v>0</v>
      </c>
      <c r="P62" s="105">
        <f t="shared" si="12"/>
        <v>0</v>
      </c>
      <c r="Q62" s="105">
        <f t="shared" si="37"/>
        <v>8190</v>
      </c>
      <c r="R62" s="105">
        <f t="shared" si="27"/>
        <v>0</v>
      </c>
      <c r="S62" s="105">
        <f t="shared" si="28"/>
        <v>0</v>
      </c>
      <c r="T62" s="229">
        <f t="shared" si="16"/>
        <v>0</v>
      </c>
      <c r="U62" s="235">
        <f t="shared" si="17"/>
        <v>0</v>
      </c>
      <c r="V62" s="227">
        <f t="shared" si="29"/>
        <v>0</v>
      </c>
      <c r="W62" s="105">
        <f t="shared" si="3"/>
        <v>0</v>
      </c>
      <c r="X62" s="105">
        <f t="shared" si="24"/>
        <v>0</v>
      </c>
      <c r="Y62" s="105">
        <f t="shared" si="23"/>
        <v>0</v>
      </c>
      <c r="Z62" s="223">
        <f>IF(Rekenblad!B69&gt;=50,SUM(J$21:J62)*E62,(SUM(J58:J62)*E62)+(SUM(Y$21:Y57)))</f>
        <v>0</v>
      </c>
      <c r="AA62" s="227">
        <f t="shared" si="30"/>
        <v>0</v>
      </c>
      <c r="AB62" s="105">
        <f t="shared" si="18"/>
        <v>0</v>
      </c>
      <c r="AC62" s="229">
        <f t="shared" si="19"/>
        <v>0</v>
      </c>
      <c r="AD62" s="228">
        <f>F62*('Mijn spaartegoed'!E$34/100)</f>
        <v>0</v>
      </c>
      <c r="AE62" s="238">
        <f t="shared" si="31"/>
        <v>0</v>
      </c>
    </row>
    <row r="63" spans="1:31" ht="12.75">
      <c r="A63" s="94">
        <f t="shared" si="32"/>
        <v>2052</v>
      </c>
      <c r="B63" s="94" t="b">
        <f t="shared" si="33"/>
        <v>1</v>
      </c>
      <c r="C63" s="94">
        <f t="shared" si="34"/>
        <v>152</v>
      </c>
      <c r="D63" s="119">
        <f>IF(H62=0,0,IF($B63,D62*(1+$D$5)*(1+VLOOKUP(C62,carriere!$A$2:$D$52,4)),""))</f>
        <v>0</v>
      </c>
      <c r="E63" s="105">
        <f t="shared" si="25"/>
        <v>0</v>
      </c>
      <c r="F63" s="105">
        <f t="shared" si="9"/>
        <v>0</v>
      </c>
      <c r="G63" s="103">
        <f t="shared" si="35"/>
        <v>0</v>
      </c>
      <c r="H63" s="218">
        <f>IF(OR(Rekenblad!B$35&lt;15,Rekenblad!B$35&gt;65),0,IF(Rekenblad!B$15,VLOOKUP(Rekenblad!B$35,Tabel_totaalrecht!A$6:AY$55,maatman!A63-2008,FALSE),VLOOKUP(Rekenblad!B$35,Tabel_basisrecht!A$6:AY$55,maatman!A63-2008,FALSE)))</f>
        <v>0</v>
      </c>
      <c r="I63" s="218">
        <f>H63*Rekenblad!B$24</f>
        <v>0</v>
      </c>
      <c r="J63" s="276">
        <f>I63*('Mijn spaartegoed'!D$17/100)</f>
        <v>0</v>
      </c>
      <c r="K63" s="151">
        <f t="shared" si="26"/>
        <v>0</v>
      </c>
      <c r="L63" s="148">
        <f t="shared" si="20"/>
        <v>0</v>
      </c>
      <c r="M63" s="148">
        <f t="shared" si="21"/>
        <v>0</v>
      </c>
      <c r="N63" s="104">
        <f t="shared" si="36"/>
        <v>0</v>
      </c>
      <c r="O63" s="104">
        <f t="shared" si="22"/>
        <v>0</v>
      </c>
      <c r="P63" s="105">
        <f t="shared" si="12"/>
        <v>0</v>
      </c>
      <c r="Q63" s="105">
        <f t="shared" si="37"/>
        <v>8385</v>
      </c>
      <c r="R63" s="105">
        <f t="shared" si="27"/>
        <v>0</v>
      </c>
      <c r="S63" s="105">
        <f t="shared" si="28"/>
        <v>0</v>
      </c>
      <c r="T63" s="229">
        <f t="shared" si="16"/>
        <v>0</v>
      </c>
      <c r="U63" s="235">
        <f t="shared" si="17"/>
        <v>0</v>
      </c>
      <c r="V63" s="227">
        <f t="shared" si="29"/>
        <v>0</v>
      </c>
      <c r="W63" s="105">
        <f t="shared" si="3"/>
        <v>0</v>
      </c>
      <c r="X63" s="105">
        <f t="shared" si="24"/>
        <v>0</v>
      </c>
      <c r="Y63" s="105">
        <f t="shared" si="23"/>
        <v>0</v>
      </c>
      <c r="Z63" s="223">
        <f>IF(Rekenblad!B70&gt;=50,SUM(J$21:J63)*E63,(SUM(J59:J63)*E63)+(SUM(Y$21:Y58)))</f>
        <v>0</v>
      </c>
      <c r="AA63" s="227">
        <f t="shared" si="30"/>
        <v>0</v>
      </c>
      <c r="AB63" s="105">
        <f t="shared" si="18"/>
        <v>0</v>
      </c>
      <c r="AC63" s="229">
        <f t="shared" si="19"/>
        <v>0</v>
      </c>
      <c r="AD63" s="228">
        <f>F63*('Mijn spaartegoed'!E$34/100)</f>
        <v>0</v>
      </c>
      <c r="AE63" s="238">
        <f t="shared" si="31"/>
        <v>0</v>
      </c>
    </row>
    <row r="64" spans="1:31" ht="12.75">
      <c r="A64" s="94">
        <f t="shared" si="32"/>
        <v>2053</v>
      </c>
      <c r="B64" s="94" t="b">
        <f t="shared" si="33"/>
        <v>1</v>
      </c>
      <c r="C64" s="94">
        <f t="shared" si="34"/>
        <v>153</v>
      </c>
      <c r="D64" s="119">
        <f>IF(H63=0,0,IF($B64,D63*(1+$D$5)*(1+VLOOKUP(C63,carriere!$A$2:$D$52,4)),""))</f>
        <v>0</v>
      </c>
      <c r="E64" s="105">
        <f t="shared" si="25"/>
        <v>0</v>
      </c>
      <c r="F64" s="105">
        <f t="shared" si="9"/>
        <v>0</v>
      </c>
      <c r="G64" s="103">
        <f t="shared" si="35"/>
        <v>0</v>
      </c>
      <c r="H64" s="218">
        <f>IF(OR(Rekenblad!B$35&lt;15,Rekenblad!B$35&gt;65),0,IF(Rekenblad!B$15,VLOOKUP(Rekenblad!B$35,Tabel_totaalrecht!A$6:AY$55,maatman!A64-2008,FALSE),VLOOKUP(Rekenblad!B$35,Tabel_basisrecht!A$6:AY$55,maatman!A64-2008,FALSE)))</f>
        <v>0</v>
      </c>
      <c r="I64" s="218">
        <f>H64*Rekenblad!B$24</f>
        <v>0</v>
      </c>
      <c r="J64" s="276">
        <f>I64*('Mijn spaartegoed'!D$17/100)</f>
        <v>0</v>
      </c>
      <c r="K64" s="151">
        <f t="shared" si="26"/>
        <v>0</v>
      </c>
      <c r="L64" s="148">
        <f t="shared" si="20"/>
        <v>0</v>
      </c>
      <c r="M64" s="148">
        <f t="shared" si="21"/>
        <v>0</v>
      </c>
      <c r="N64" s="104">
        <f t="shared" si="36"/>
        <v>0</v>
      </c>
      <c r="O64" s="104">
        <f t="shared" si="22"/>
        <v>0</v>
      </c>
      <c r="P64" s="105">
        <f t="shared" si="12"/>
        <v>0</v>
      </c>
      <c r="Q64" s="105">
        <f t="shared" si="37"/>
        <v>8580</v>
      </c>
      <c r="R64" s="105">
        <f t="shared" si="27"/>
        <v>0</v>
      </c>
      <c r="S64" s="105">
        <f t="shared" si="28"/>
        <v>0</v>
      </c>
      <c r="T64" s="229">
        <f t="shared" si="16"/>
        <v>0</v>
      </c>
      <c r="U64" s="235">
        <f t="shared" si="17"/>
        <v>0</v>
      </c>
      <c r="V64" s="227">
        <f t="shared" si="29"/>
        <v>0</v>
      </c>
      <c r="W64" s="105">
        <f t="shared" si="3"/>
        <v>0</v>
      </c>
      <c r="X64" s="105">
        <f t="shared" si="24"/>
        <v>0</v>
      </c>
      <c r="Y64" s="105">
        <f t="shared" si="23"/>
        <v>0</v>
      </c>
      <c r="Z64" s="223">
        <f>IF(Rekenblad!B71&gt;=50,SUM(J$21:J64)*E64,(SUM(J60:J64)*E64)+(SUM(Y$21:Y59)))</f>
        <v>0</v>
      </c>
      <c r="AA64" s="227">
        <f t="shared" si="30"/>
        <v>0</v>
      </c>
      <c r="AB64" s="105">
        <f t="shared" si="18"/>
        <v>0</v>
      </c>
      <c r="AC64" s="229">
        <f t="shared" si="19"/>
        <v>0</v>
      </c>
      <c r="AD64" s="228">
        <f>F64*('Mijn spaartegoed'!E$34/100)</f>
        <v>0</v>
      </c>
      <c r="AE64" s="238">
        <f t="shared" si="31"/>
        <v>0</v>
      </c>
    </row>
    <row r="65" spans="1:31" ht="12.75">
      <c r="A65" s="94">
        <f t="shared" si="32"/>
        <v>2054</v>
      </c>
      <c r="B65" s="94" t="b">
        <f t="shared" si="33"/>
        <v>1</v>
      </c>
      <c r="C65" s="94">
        <f t="shared" si="34"/>
        <v>154</v>
      </c>
      <c r="D65" s="119">
        <f>IF(H64=0,0,IF($B65,D64*(1+$D$5)*(1+VLOOKUP(C64,carriere!$A$2:$D$52,4)),""))</f>
        <v>0</v>
      </c>
      <c r="E65" s="105">
        <f t="shared" si="25"/>
        <v>0</v>
      </c>
      <c r="F65" s="105">
        <f t="shared" si="9"/>
        <v>0</v>
      </c>
      <c r="G65" s="103">
        <f t="shared" si="35"/>
        <v>0</v>
      </c>
      <c r="H65" s="218">
        <f>IF(OR(Rekenblad!B$35&lt;15,Rekenblad!B$35&gt;65),0,IF(Rekenblad!B$15,VLOOKUP(Rekenblad!B$35,Tabel_totaalrecht!A$6:AY$55,maatman!A65-2008,FALSE),VLOOKUP(Rekenblad!B$35,Tabel_basisrecht!A$6:AY$55,maatman!A65-2008,FALSE)))</f>
        <v>0</v>
      </c>
      <c r="I65" s="218">
        <f>H65*Rekenblad!B$24</f>
        <v>0</v>
      </c>
      <c r="J65" s="276">
        <f>I65*('Mijn spaartegoed'!D$17/100)</f>
        <v>0</v>
      </c>
      <c r="K65" s="151">
        <f t="shared" si="26"/>
        <v>0</v>
      </c>
      <c r="L65" s="148">
        <f t="shared" si="20"/>
        <v>0</v>
      </c>
      <c r="M65" s="148">
        <f t="shared" si="21"/>
        <v>0</v>
      </c>
      <c r="N65" s="104">
        <f t="shared" si="36"/>
        <v>0</v>
      </c>
      <c r="O65" s="104">
        <f t="shared" si="22"/>
        <v>0</v>
      </c>
      <c r="P65" s="105">
        <f t="shared" si="12"/>
        <v>0</v>
      </c>
      <c r="Q65" s="105">
        <f t="shared" si="37"/>
        <v>8775</v>
      </c>
      <c r="R65" s="105">
        <f t="shared" si="27"/>
        <v>0</v>
      </c>
      <c r="S65" s="105">
        <f t="shared" si="28"/>
        <v>0</v>
      </c>
      <c r="T65" s="229">
        <f t="shared" si="16"/>
        <v>0</v>
      </c>
      <c r="U65" s="235">
        <f t="shared" si="17"/>
        <v>0</v>
      </c>
      <c r="V65" s="227">
        <f t="shared" si="29"/>
        <v>0</v>
      </c>
      <c r="W65" s="105">
        <f t="shared" si="3"/>
        <v>0</v>
      </c>
      <c r="X65" s="105">
        <f t="shared" si="24"/>
        <v>0</v>
      </c>
      <c r="Y65" s="105">
        <f t="shared" si="23"/>
        <v>0</v>
      </c>
      <c r="Z65" s="223">
        <f>IF(Rekenblad!B72&gt;=50,SUM(J$21:J65)*E65,(SUM(J61:J65)*E65)+(SUM(Y$21:Y60)))</f>
        <v>0</v>
      </c>
      <c r="AA65" s="227">
        <f t="shared" si="30"/>
        <v>0</v>
      </c>
      <c r="AB65" s="105">
        <f t="shared" si="18"/>
        <v>0</v>
      </c>
      <c r="AC65" s="229">
        <f t="shared" si="19"/>
        <v>0</v>
      </c>
      <c r="AD65" s="228">
        <f>F65*('Mijn spaartegoed'!E$34/100)</f>
        <v>0</v>
      </c>
      <c r="AE65" s="238">
        <f t="shared" si="31"/>
        <v>0</v>
      </c>
    </row>
    <row r="66" spans="1:31" ht="12.75">
      <c r="A66" s="94">
        <f t="shared" si="32"/>
        <v>2055</v>
      </c>
      <c r="B66" s="94" t="b">
        <f t="shared" si="33"/>
        <v>1</v>
      </c>
      <c r="C66" s="94">
        <f t="shared" si="34"/>
        <v>155</v>
      </c>
      <c r="D66" s="119">
        <f>IF(H65=0,0,IF($B66,D65*(1+$D$5)*(1+VLOOKUP(C65,carriere!$A$2:$D$52,4)),""))</f>
        <v>0</v>
      </c>
      <c r="E66" s="105">
        <f t="shared" si="25"/>
        <v>0</v>
      </c>
      <c r="F66" s="105">
        <f t="shared" si="9"/>
        <v>0</v>
      </c>
      <c r="G66" s="103">
        <f t="shared" si="35"/>
        <v>0</v>
      </c>
      <c r="H66" s="218">
        <f>IF(OR(Rekenblad!B$35&lt;15,Rekenblad!B$35&gt;65),0,IF(Rekenblad!B$15,VLOOKUP(Rekenblad!B$35,Tabel_totaalrecht!A$6:AY$55,maatman!A66-2008,FALSE),VLOOKUP(Rekenblad!B$35,Tabel_basisrecht!A$6:AY$55,maatman!A66-2008,FALSE)))</f>
        <v>0</v>
      </c>
      <c r="I66" s="218">
        <f>H66*Rekenblad!B$24</f>
        <v>0</v>
      </c>
      <c r="J66" s="276">
        <f>I66*('Mijn spaartegoed'!D$17/100)</f>
        <v>0</v>
      </c>
      <c r="K66" s="151">
        <f t="shared" si="26"/>
        <v>0</v>
      </c>
      <c r="L66" s="148">
        <f t="shared" si="20"/>
        <v>0</v>
      </c>
      <c r="M66" s="148">
        <f t="shared" si="21"/>
        <v>0</v>
      </c>
      <c r="N66" s="104">
        <f t="shared" si="36"/>
        <v>0</v>
      </c>
      <c r="O66" s="104">
        <f t="shared" si="22"/>
        <v>0</v>
      </c>
      <c r="P66" s="105">
        <f t="shared" si="12"/>
        <v>0</v>
      </c>
      <c r="Q66" s="105">
        <f t="shared" si="37"/>
        <v>8970</v>
      </c>
      <c r="R66" s="105">
        <f t="shared" si="27"/>
        <v>0</v>
      </c>
      <c r="S66" s="105">
        <f t="shared" si="28"/>
        <v>0</v>
      </c>
      <c r="T66" s="229">
        <f t="shared" si="16"/>
        <v>0</v>
      </c>
      <c r="U66" s="235">
        <f t="shared" si="17"/>
        <v>0</v>
      </c>
      <c r="V66" s="227">
        <f t="shared" si="29"/>
        <v>0</v>
      </c>
      <c r="W66" s="105">
        <f t="shared" si="3"/>
        <v>0</v>
      </c>
      <c r="X66" s="105">
        <f t="shared" si="24"/>
        <v>0</v>
      </c>
      <c r="Y66" s="105">
        <f t="shared" si="23"/>
        <v>0</v>
      </c>
      <c r="Z66" s="223">
        <f>IF(Rekenblad!B73&gt;=50,SUM(J$21:J66)*E66,(SUM(J62:J66)*E66)+(SUM(Y$21:Y61)))</f>
        <v>0</v>
      </c>
      <c r="AA66" s="227">
        <f t="shared" si="30"/>
        <v>0</v>
      </c>
      <c r="AB66" s="105">
        <f t="shared" si="18"/>
        <v>0</v>
      </c>
      <c r="AC66" s="229">
        <f t="shared" si="19"/>
        <v>0</v>
      </c>
      <c r="AD66" s="228">
        <f>F66*('Mijn spaartegoed'!E$34/100)</f>
        <v>0</v>
      </c>
      <c r="AE66" s="238">
        <f t="shared" si="31"/>
        <v>0</v>
      </c>
    </row>
    <row r="67" spans="1:31" ht="12.75">
      <c r="A67" s="94">
        <f t="shared" si="32"/>
        <v>2056</v>
      </c>
      <c r="B67" s="94" t="b">
        <f t="shared" si="33"/>
        <v>1</v>
      </c>
      <c r="C67" s="94">
        <f t="shared" si="34"/>
        <v>156</v>
      </c>
      <c r="D67" s="119">
        <f>IF(H66=0,0,IF($B67,D66*(1+$D$5)*(1+VLOOKUP(C66,carriere!$A$2:$D$52,4)),""))</f>
        <v>0</v>
      </c>
      <c r="E67" s="105">
        <f t="shared" si="25"/>
        <v>0</v>
      </c>
      <c r="F67" s="105">
        <f t="shared" si="9"/>
        <v>0</v>
      </c>
      <c r="G67" s="103">
        <f t="shared" si="35"/>
        <v>0</v>
      </c>
      <c r="H67" s="218">
        <f>IF(OR(Rekenblad!B$35&lt;15,Rekenblad!B$35&gt;65),0,IF(Rekenblad!B$15,VLOOKUP(Rekenblad!B$35,Tabel_totaalrecht!A$6:AY$55,maatman!A67-2008,FALSE),VLOOKUP(Rekenblad!B$35,Tabel_basisrecht!A$6:AY$55,maatman!A67-2008,FALSE)))</f>
        <v>0</v>
      </c>
      <c r="I67" s="218">
        <f>H67*Rekenblad!B$24</f>
        <v>0</v>
      </c>
      <c r="J67" s="276">
        <f>I67*('Mijn spaartegoed'!D$17/100)</f>
        <v>0</v>
      </c>
      <c r="K67" s="151">
        <f t="shared" si="26"/>
        <v>0</v>
      </c>
      <c r="L67" s="148">
        <f t="shared" si="20"/>
        <v>0</v>
      </c>
      <c r="M67" s="148">
        <f t="shared" si="21"/>
        <v>0</v>
      </c>
      <c r="N67" s="104">
        <f t="shared" si="36"/>
        <v>0</v>
      </c>
      <c r="O67" s="104">
        <f t="shared" si="22"/>
        <v>0</v>
      </c>
      <c r="P67" s="105">
        <f t="shared" si="12"/>
        <v>0</v>
      </c>
      <c r="Q67" s="105">
        <f t="shared" si="37"/>
        <v>9165</v>
      </c>
      <c r="R67" s="105">
        <f t="shared" si="27"/>
        <v>0</v>
      </c>
      <c r="S67" s="105">
        <f t="shared" si="28"/>
        <v>0</v>
      </c>
      <c r="T67" s="229">
        <f t="shared" si="16"/>
        <v>0</v>
      </c>
      <c r="U67" s="235">
        <f t="shared" si="17"/>
        <v>0</v>
      </c>
      <c r="V67" s="227">
        <f t="shared" si="29"/>
        <v>0</v>
      </c>
      <c r="W67" s="105">
        <f t="shared" si="3"/>
        <v>0</v>
      </c>
      <c r="X67" s="105">
        <f t="shared" si="24"/>
        <v>0</v>
      </c>
      <c r="Y67" s="105">
        <f t="shared" si="23"/>
        <v>0</v>
      </c>
      <c r="Z67" s="223">
        <f>IF(Rekenblad!B74&gt;=50,SUM(J$21:J67)*E67,(SUM(J63:J67)*E67)+(SUM(Y$21:Y62)))</f>
        <v>0</v>
      </c>
      <c r="AA67" s="227">
        <f t="shared" si="30"/>
        <v>0</v>
      </c>
      <c r="AB67" s="105">
        <f t="shared" si="18"/>
        <v>0</v>
      </c>
      <c r="AC67" s="229">
        <f t="shared" si="19"/>
        <v>0</v>
      </c>
      <c r="AD67" s="228">
        <f>F67*('Mijn spaartegoed'!E$34/100)</f>
        <v>0</v>
      </c>
      <c r="AE67" s="238">
        <f t="shared" si="31"/>
        <v>0</v>
      </c>
    </row>
    <row r="68" spans="1:31" ht="12.75">
      <c r="A68" s="94">
        <f t="shared" si="32"/>
        <v>2057</v>
      </c>
      <c r="B68" s="94" t="b">
        <f t="shared" si="33"/>
        <v>1</v>
      </c>
      <c r="C68" s="94">
        <f t="shared" si="34"/>
        <v>157</v>
      </c>
      <c r="D68" s="119">
        <f>IF(H67=0,0,IF($B68,D67*(1+$D$5)*(1+VLOOKUP(C67,carriere!$A$2:$D$52,4)),""))</f>
        <v>0</v>
      </c>
      <c r="E68" s="105">
        <f t="shared" si="25"/>
        <v>0</v>
      </c>
      <c r="F68" s="105">
        <f t="shared" si="9"/>
        <v>0</v>
      </c>
      <c r="G68" s="103">
        <f t="shared" si="35"/>
        <v>0</v>
      </c>
      <c r="H68" s="218">
        <f>IF(OR(Rekenblad!B$35&lt;15,Rekenblad!B$35&gt;65),0,IF(Rekenblad!B$15,VLOOKUP(Rekenblad!B$35,Tabel_totaalrecht!A$6:AY$55,maatman!A68-2008,FALSE),VLOOKUP(Rekenblad!B$35,Tabel_basisrecht!A$6:AY$55,maatman!A68-2008,FALSE)))</f>
        <v>0</v>
      </c>
      <c r="I68" s="218">
        <f>H68*Rekenblad!B$24</f>
        <v>0</v>
      </c>
      <c r="J68" s="276">
        <f>I68*('Mijn spaartegoed'!D$17/100)</f>
        <v>0</v>
      </c>
      <c r="K68" s="151">
        <f t="shared" si="26"/>
        <v>0</v>
      </c>
      <c r="L68" s="148">
        <f t="shared" si="20"/>
        <v>0</v>
      </c>
      <c r="M68" s="148">
        <f t="shared" si="21"/>
        <v>0</v>
      </c>
      <c r="N68" s="104">
        <f t="shared" si="36"/>
        <v>0</v>
      </c>
      <c r="O68" s="104">
        <f t="shared" si="22"/>
        <v>0</v>
      </c>
      <c r="P68" s="105">
        <f aca="true" t="shared" si="38" ref="P68:P80">M68*D$8</f>
        <v>0</v>
      </c>
      <c r="Q68" s="105">
        <f t="shared" si="37"/>
        <v>9360</v>
      </c>
      <c r="R68" s="105">
        <f t="shared" si="27"/>
        <v>0</v>
      </c>
      <c r="S68" s="105">
        <f t="shared" si="28"/>
        <v>0</v>
      </c>
      <c r="T68" s="229">
        <f t="shared" si="16"/>
        <v>0</v>
      </c>
      <c r="U68" s="235">
        <f t="shared" si="17"/>
        <v>0</v>
      </c>
      <c r="V68" s="227">
        <f t="shared" si="29"/>
        <v>0</v>
      </c>
      <c r="W68" s="105">
        <f aca="true" t="shared" si="39" ref="W68:W80">U68-V68</f>
        <v>0</v>
      </c>
      <c r="X68" s="105">
        <f t="shared" si="24"/>
        <v>0</v>
      </c>
      <c r="Y68" s="105">
        <f t="shared" si="23"/>
        <v>0</v>
      </c>
      <c r="Z68" s="223">
        <f>IF(Rekenblad!B75&gt;=50,SUM(J$21:J68)*E68,(SUM(J64:J68)*E68)+(SUM(Y$21:Y63)))</f>
        <v>0</v>
      </c>
      <c r="AA68" s="227">
        <f t="shared" si="30"/>
        <v>0</v>
      </c>
      <c r="AB68" s="105">
        <f t="shared" si="18"/>
        <v>0</v>
      </c>
      <c r="AC68" s="229">
        <f t="shared" si="19"/>
        <v>0</v>
      </c>
      <c r="AD68" s="228">
        <f>F68*('Mijn spaartegoed'!E$34/100)</f>
        <v>0</v>
      </c>
      <c r="AE68" s="238">
        <f t="shared" si="31"/>
        <v>0</v>
      </c>
    </row>
    <row r="69" spans="1:31" ht="12.75">
      <c r="A69" s="94">
        <f t="shared" si="32"/>
        <v>2058</v>
      </c>
      <c r="B69" s="94" t="b">
        <f t="shared" si="33"/>
        <v>1</v>
      </c>
      <c r="C69" s="94">
        <f t="shared" si="34"/>
        <v>158</v>
      </c>
      <c r="D69" s="119">
        <f>IF(H68=0,0,IF($B69,D68*(1+$D$5)*(1+VLOOKUP(C68,carriere!$A$2:$D$52,4)),""))</f>
        <v>0</v>
      </c>
      <c r="E69" s="105">
        <f t="shared" si="25"/>
        <v>0</v>
      </c>
      <c r="F69" s="105">
        <f t="shared" si="9"/>
        <v>0</v>
      </c>
      <c r="G69" s="103">
        <f t="shared" si="35"/>
        <v>0</v>
      </c>
      <c r="H69" s="218">
        <f>IF(OR(Rekenblad!B$35&lt;15,Rekenblad!B$35&gt;65),0,IF(Rekenblad!B$15,VLOOKUP(Rekenblad!B$35,Tabel_totaalrecht!A$6:AY$55,maatman!A69-2008,FALSE),VLOOKUP(Rekenblad!B$35,Tabel_basisrecht!A$6:AY$55,maatman!A69-2008,FALSE)))</f>
        <v>0</v>
      </c>
      <c r="I69" s="218">
        <f>H69*Rekenblad!B$24</f>
        <v>0</v>
      </c>
      <c r="J69" s="276">
        <f>I69*('Mijn spaartegoed'!D$17/100)</f>
        <v>0</v>
      </c>
      <c r="K69" s="151">
        <f t="shared" si="26"/>
        <v>0</v>
      </c>
      <c r="L69" s="148">
        <f t="shared" si="20"/>
        <v>0</v>
      </c>
      <c r="M69" s="148">
        <f t="shared" si="21"/>
        <v>0</v>
      </c>
      <c r="N69" s="104">
        <f t="shared" si="36"/>
        <v>0</v>
      </c>
      <c r="O69" s="104">
        <f t="shared" si="22"/>
        <v>0</v>
      </c>
      <c r="P69" s="105">
        <f t="shared" si="38"/>
        <v>0</v>
      </c>
      <c r="Q69" s="105">
        <f t="shared" si="37"/>
        <v>9555</v>
      </c>
      <c r="R69" s="105">
        <f t="shared" si="27"/>
        <v>0</v>
      </c>
      <c r="S69" s="105">
        <f t="shared" si="28"/>
        <v>0</v>
      </c>
      <c r="T69" s="229">
        <f t="shared" si="16"/>
        <v>0</v>
      </c>
      <c r="U69" s="235">
        <f t="shared" si="17"/>
        <v>0</v>
      </c>
      <c r="V69" s="227">
        <f t="shared" si="29"/>
        <v>0</v>
      </c>
      <c r="W69" s="105">
        <f t="shared" si="39"/>
        <v>0</v>
      </c>
      <c r="X69" s="105">
        <f t="shared" si="24"/>
        <v>0</v>
      </c>
      <c r="Y69" s="105">
        <f t="shared" si="23"/>
        <v>0</v>
      </c>
      <c r="Z69" s="223">
        <f>IF(Rekenblad!B76&gt;=50,SUM(J$21:J69)*E69,(SUM(J65:J69)*E69)+(SUM(Y$21:Y64)))</f>
        <v>0</v>
      </c>
      <c r="AA69" s="227">
        <f t="shared" si="30"/>
        <v>0</v>
      </c>
      <c r="AB69" s="105">
        <f t="shared" si="18"/>
        <v>0</v>
      </c>
      <c r="AC69" s="229">
        <f t="shared" si="19"/>
        <v>0</v>
      </c>
      <c r="AD69" s="228">
        <f>F69*('Mijn spaartegoed'!E$34/100)</f>
        <v>0</v>
      </c>
      <c r="AE69" s="238">
        <f t="shared" si="31"/>
        <v>0</v>
      </c>
    </row>
    <row r="70" spans="1:31" ht="12.75">
      <c r="A70" s="94">
        <f t="shared" si="32"/>
        <v>2059</v>
      </c>
      <c r="B70" s="94" t="b">
        <f t="shared" si="33"/>
        <v>1</v>
      </c>
      <c r="C70" s="94">
        <f t="shared" si="34"/>
        <v>159</v>
      </c>
      <c r="D70" s="119">
        <f>IF(H69=0,0,IF($B70,D69*(1+$D$5)*(1+VLOOKUP(C69,carriere!$A$2:$D$52,4)),""))</f>
        <v>0</v>
      </c>
      <c r="E70" s="105">
        <f t="shared" si="25"/>
        <v>0</v>
      </c>
      <c r="F70" s="105">
        <f t="shared" si="9"/>
        <v>0</v>
      </c>
      <c r="G70" s="103">
        <f t="shared" si="35"/>
        <v>0</v>
      </c>
      <c r="H70" s="218">
        <f>IF(OR(Rekenblad!B$35&lt;15,Rekenblad!B$35&gt;65),0,IF(Rekenblad!B$15,VLOOKUP(Rekenblad!B$35,Tabel_totaalrecht!A$6:AY$55,maatman!A70-2008,FALSE),VLOOKUP(Rekenblad!B$35,Tabel_basisrecht!A$6:AY$55,maatman!A70-2008,FALSE)))</f>
        <v>0</v>
      </c>
      <c r="I70" s="218">
        <f>H70*Rekenblad!B$24</f>
        <v>0</v>
      </c>
      <c r="J70" s="276">
        <f>I70*('Mijn spaartegoed'!D$17/100)</f>
        <v>0</v>
      </c>
      <c r="K70" s="151">
        <f t="shared" si="26"/>
        <v>0</v>
      </c>
      <c r="L70" s="148">
        <f t="shared" si="20"/>
        <v>0</v>
      </c>
      <c r="M70" s="148">
        <f t="shared" si="21"/>
        <v>0</v>
      </c>
      <c r="N70" s="104">
        <f t="shared" si="36"/>
        <v>0</v>
      </c>
      <c r="O70" s="104">
        <f t="shared" si="22"/>
        <v>0</v>
      </c>
      <c r="P70" s="105">
        <f t="shared" si="38"/>
        <v>0</v>
      </c>
      <c r="Q70" s="105">
        <f t="shared" si="37"/>
        <v>9750</v>
      </c>
      <c r="R70" s="105">
        <f t="shared" si="27"/>
        <v>0</v>
      </c>
      <c r="S70" s="105">
        <f t="shared" si="28"/>
        <v>0</v>
      </c>
      <c r="T70" s="229">
        <f t="shared" si="16"/>
        <v>0</v>
      </c>
      <c r="U70" s="235">
        <f t="shared" si="17"/>
        <v>0</v>
      </c>
      <c r="V70" s="227">
        <f t="shared" si="29"/>
        <v>0</v>
      </c>
      <c r="W70" s="105">
        <f t="shared" si="39"/>
        <v>0</v>
      </c>
      <c r="X70" s="105">
        <f t="shared" si="24"/>
        <v>0</v>
      </c>
      <c r="Y70" s="105">
        <f t="shared" si="23"/>
        <v>0</v>
      </c>
      <c r="Z70" s="223">
        <f>IF(Rekenblad!B77&gt;=50,SUM(J$21:J70)*E70,(SUM(J66:J70)*E70)+(SUM(Y$21:Y65)))</f>
        <v>0</v>
      </c>
      <c r="AA70" s="227">
        <f t="shared" si="30"/>
        <v>0</v>
      </c>
      <c r="AB70" s="105">
        <f t="shared" si="18"/>
        <v>0</v>
      </c>
      <c r="AC70" s="229">
        <f t="shared" si="19"/>
        <v>0</v>
      </c>
      <c r="AD70" s="228">
        <f>F70*('Mijn spaartegoed'!E$34/100)</f>
        <v>0</v>
      </c>
      <c r="AE70" s="238">
        <f t="shared" si="31"/>
        <v>0</v>
      </c>
    </row>
    <row r="71" spans="1:31" ht="12.75">
      <c r="A71" s="94">
        <f t="shared" si="32"/>
        <v>2060</v>
      </c>
      <c r="B71" s="94" t="b">
        <f t="shared" si="33"/>
        <v>1</v>
      </c>
      <c r="C71" s="94">
        <f t="shared" si="34"/>
        <v>160</v>
      </c>
      <c r="D71" s="119">
        <f>IF(H70=0,0,IF($B71,D70*(1+$D$5)*(1+VLOOKUP(C70,carriere!$A$2:$D$52,4)),""))</f>
        <v>0</v>
      </c>
      <c r="E71" s="105">
        <f t="shared" si="25"/>
        <v>0</v>
      </c>
      <c r="F71" s="105">
        <f t="shared" si="9"/>
        <v>0</v>
      </c>
      <c r="G71" s="103">
        <f t="shared" si="35"/>
        <v>0</v>
      </c>
      <c r="H71" s="218">
        <f>IF(OR(Rekenblad!B$35&lt;15,Rekenblad!B$35&gt;65),0,IF(Rekenblad!B$15,VLOOKUP(Rekenblad!B$35,Tabel_totaalrecht!A$6:AY$55,maatman!A71-2008,FALSE),VLOOKUP(Rekenblad!B$35,Tabel_basisrecht!A$6:AY$55,maatman!A71-2008,FALSE)))</f>
        <v>0</v>
      </c>
      <c r="I71" s="218">
        <f>H71*Rekenblad!B$24</f>
        <v>0</v>
      </c>
      <c r="J71" s="276">
        <f>I71*('Mijn spaartegoed'!D$17/100)</f>
        <v>0</v>
      </c>
      <c r="K71" s="151">
        <f t="shared" si="26"/>
        <v>0</v>
      </c>
      <c r="L71" s="148">
        <f t="shared" si="20"/>
        <v>0</v>
      </c>
      <c r="M71" s="148">
        <f t="shared" si="21"/>
        <v>0</v>
      </c>
      <c r="N71" s="104">
        <f t="shared" si="36"/>
        <v>0</v>
      </c>
      <c r="O71" s="104">
        <f t="shared" si="22"/>
        <v>0</v>
      </c>
      <c r="P71" s="105">
        <f t="shared" si="38"/>
        <v>0</v>
      </c>
      <c r="Q71" s="105">
        <f t="shared" si="37"/>
        <v>9945</v>
      </c>
      <c r="R71" s="105">
        <f t="shared" si="27"/>
        <v>0</v>
      </c>
      <c r="S71" s="105">
        <f t="shared" si="28"/>
        <v>0</v>
      </c>
      <c r="T71" s="229">
        <f t="shared" si="16"/>
        <v>0</v>
      </c>
      <c r="U71" s="235">
        <f t="shared" si="17"/>
        <v>0</v>
      </c>
      <c r="V71" s="227">
        <f t="shared" si="29"/>
        <v>0</v>
      </c>
      <c r="W71" s="105">
        <f t="shared" si="39"/>
        <v>0</v>
      </c>
      <c r="X71" s="105">
        <f t="shared" si="24"/>
        <v>0</v>
      </c>
      <c r="Y71" s="105">
        <f t="shared" si="23"/>
        <v>0</v>
      </c>
      <c r="Z71" s="223">
        <f>IF(Rekenblad!B78&gt;=50,SUM(J$21:J71)*E71,(SUM(J67:J71)*E71)+(SUM(Y$21:Y66)))</f>
        <v>0</v>
      </c>
      <c r="AA71" s="227">
        <f t="shared" si="30"/>
        <v>0</v>
      </c>
      <c r="AB71" s="105">
        <f t="shared" si="18"/>
        <v>0</v>
      </c>
      <c r="AC71" s="229">
        <f t="shared" si="19"/>
        <v>0</v>
      </c>
      <c r="AD71" s="228">
        <f>F71*('Mijn spaartegoed'!E$34/100)</f>
        <v>0</v>
      </c>
      <c r="AE71" s="238">
        <f t="shared" si="31"/>
        <v>0</v>
      </c>
    </row>
    <row r="72" spans="1:31" ht="12.75">
      <c r="A72" s="94">
        <f t="shared" si="32"/>
        <v>2061</v>
      </c>
      <c r="B72" s="94" t="b">
        <f t="shared" si="33"/>
        <v>1</v>
      </c>
      <c r="C72" s="94">
        <f t="shared" si="34"/>
        <v>161</v>
      </c>
      <c r="D72" s="119">
        <f>IF(H71=0,0,IF($B72,D71*(1+$D$5)*(1+VLOOKUP(C71,carriere!$A$2:$D$52,4)),""))</f>
        <v>0</v>
      </c>
      <c r="E72" s="105">
        <f t="shared" si="25"/>
        <v>0</v>
      </c>
      <c r="F72" s="105">
        <f t="shared" si="9"/>
        <v>0</v>
      </c>
      <c r="G72" s="103">
        <f t="shared" si="35"/>
        <v>0</v>
      </c>
      <c r="H72" s="218">
        <f>IF(OR(Rekenblad!B$35&lt;15,Rekenblad!B$35&gt;65),0,IF(Rekenblad!B$15,VLOOKUP(Rekenblad!B$35,Tabel_totaalrecht!A$6:AY$55,maatman!A72-2008,FALSE),VLOOKUP(Rekenblad!B$35,Tabel_basisrecht!A$6:AY$55,maatman!A72-2008,FALSE)))</f>
        <v>0</v>
      </c>
      <c r="I72" s="218">
        <f>H72*Rekenblad!B$24</f>
        <v>0</v>
      </c>
      <c r="J72" s="276">
        <f>I72*('Mijn spaartegoed'!D$17/100)</f>
        <v>0</v>
      </c>
      <c r="K72" s="151">
        <f t="shared" si="26"/>
        <v>0</v>
      </c>
      <c r="L72" s="148">
        <f t="shared" si="20"/>
        <v>0</v>
      </c>
      <c r="M72" s="148">
        <f t="shared" si="21"/>
        <v>0</v>
      </c>
      <c r="N72" s="104">
        <f t="shared" si="36"/>
        <v>0</v>
      </c>
      <c r="O72" s="104">
        <f t="shared" si="22"/>
        <v>0</v>
      </c>
      <c r="P72" s="105">
        <f t="shared" si="38"/>
        <v>0</v>
      </c>
      <c r="Q72" s="105">
        <f t="shared" si="37"/>
        <v>10140</v>
      </c>
      <c r="R72" s="105">
        <f t="shared" si="27"/>
        <v>0</v>
      </c>
      <c r="S72" s="105">
        <f t="shared" si="28"/>
        <v>0</v>
      </c>
      <c r="T72" s="229">
        <f t="shared" si="16"/>
        <v>0</v>
      </c>
      <c r="U72" s="235">
        <f t="shared" si="17"/>
        <v>0</v>
      </c>
      <c r="V72" s="227">
        <f t="shared" si="29"/>
        <v>0</v>
      </c>
      <c r="W72" s="105">
        <f t="shared" si="39"/>
        <v>0</v>
      </c>
      <c r="X72" s="105">
        <f t="shared" si="24"/>
        <v>0</v>
      </c>
      <c r="Y72" s="105">
        <f t="shared" si="23"/>
        <v>0</v>
      </c>
      <c r="Z72" s="223">
        <f>IF(Rekenblad!B79&gt;=50,SUM(J$21:J72)*E72,(SUM(J68:J72)*E72)+(SUM(Y$21:Y67)))</f>
        <v>0</v>
      </c>
      <c r="AA72" s="227">
        <f t="shared" si="30"/>
        <v>0</v>
      </c>
      <c r="AB72" s="105">
        <f t="shared" si="18"/>
        <v>0</v>
      </c>
      <c r="AC72" s="229">
        <f t="shared" si="19"/>
        <v>0</v>
      </c>
      <c r="AD72" s="228">
        <f>F72*('Mijn spaartegoed'!E$34/100)</f>
        <v>0</v>
      </c>
      <c r="AE72" s="238">
        <f t="shared" si="31"/>
        <v>0</v>
      </c>
    </row>
    <row r="73" spans="1:31" ht="12.75">
      <c r="A73" s="94">
        <f t="shared" si="32"/>
        <v>2062</v>
      </c>
      <c r="B73" s="94" t="b">
        <f t="shared" si="33"/>
        <v>1</v>
      </c>
      <c r="C73" s="94">
        <f t="shared" si="34"/>
        <v>162</v>
      </c>
      <c r="D73" s="119">
        <f>IF(H72=0,0,IF($B73,D72*(1+$D$5)*(1+VLOOKUP(C72,carriere!$A$2:$D$52,4)),""))</f>
        <v>0</v>
      </c>
      <c r="E73" s="105">
        <f t="shared" si="25"/>
        <v>0</v>
      </c>
      <c r="F73" s="105">
        <f t="shared" si="9"/>
        <v>0</v>
      </c>
      <c r="G73" s="103">
        <f t="shared" si="35"/>
        <v>0</v>
      </c>
      <c r="H73" s="218">
        <f>IF(OR(Rekenblad!B$35&lt;15,Rekenblad!B$35&gt;65),0,IF(Rekenblad!B$15,VLOOKUP(Rekenblad!B$35,Tabel_totaalrecht!A$6:AY$55,maatman!A73-2008,FALSE),VLOOKUP(Rekenblad!B$35,Tabel_basisrecht!A$6:AY$55,maatman!A73-2008,FALSE)))</f>
        <v>0</v>
      </c>
      <c r="I73" s="218">
        <f>H73*Rekenblad!B$24</f>
        <v>0</v>
      </c>
      <c r="J73" s="276">
        <f>I73*('Mijn spaartegoed'!D$17/100)</f>
        <v>0</v>
      </c>
      <c r="K73" s="151">
        <f t="shared" si="26"/>
        <v>0</v>
      </c>
      <c r="L73" s="148">
        <f t="shared" si="20"/>
        <v>0</v>
      </c>
      <c r="M73" s="148">
        <f t="shared" si="21"/>
        <v>0</v>
      </c>
      <c r="N73" s="104">
        <f t="shared" si="36"/>
        <v>0</v>
      </c>
      <c r="O73" s="104">
        <f t="shared" si="22"/>
        <v>0</v>
      </c>
      <c r="P73" s="105">
        <f t="shared" si="38"/>
        <v>0</v>
      </c>
      <c r="Q73" s="105">
        <f t="shared" si="37"/>
        <v>10335</v>
      </c>
      <c r="R73" s="105">
        <f t="shared" si="27"/>
        <v>0</v>
      </c>
      <c r="S73" s="105">
        <f t="shared" si="28"/>
        <v>0</v>
      </c>
      <c r="T73" s="229">
        <f t="shared" si="16"/>
        <v>0</v>
      </c>
      <c r="U73" s="235">
        <f t="shared" si="17"/>
        <v>0</v>
      </c>
      <c r="V73" s="227">
        <f t="shared" si="29"/>
        <v>0</v>
      </c>
      <c r="W73" s="105">
        <f t="shared" si="39"/>
        <v>0</v>
      </c>
      <c r="X73" s="105">
        <f t="shared" si="24"/>
        <v>0</v>
      </c>
      <c r="Y73" s="105">
        <f t="shared" si="23"/>
        <v>0</v>
      </c>
      <c r="Z73" s="223">
        <f>IF(Rekenblad!B81&gt;=50,SUM(J$21:J73)*E73,(SUM(J69:J73)*E73)+(SUM(Y$21:Y68)))</f>
        <v>0</v>
      </c>
      <c r="AA73" s="227">
        <f t="shared" si="30"/>
        <v>0</v>
      </c>
      <c r="AB73" s="105">
        <f t="shared" si="18"/>
        <v>0</v>
      </c>
      <c r="AC73" s="229">
        <f t="shared" si="19"/>
        <v>0</v>
      </c>
      <c r="AD73" s="228">
        <f>F73*('Mijn spaartegoed'!E$34/100)</f>
        <v>0</v>
      </c>
      <c r="AE73" s="238">
        <f t="shared" si="31"/>
        <v>0</v>
      </c>
    </row>
    <row r="74" spans="1:31" ht="12.75">
      <c r="A74" s="94">
        <f t="shared" si="32"/>
        <v>2063</v>
      </c>
      <c r="B74" s="94" t="b">
        <f t="shared" si="33"/>
        <v>1</v>
      </c>
      <c r="C74" s="94">
        <f t="shared" si="34"/>
        <v>163</v>
      </c>
      <c r="D74" s="119">
        <f>IF(H73=0,0,IF($B74,D73*(1+$D$5)*(1+VLOOKUP(C73,carriere!$A$2:$D$52,4)),""))</f>
        <v>0</v>
      </c>
      <c r="E74" s="105">
        <f t="shared" si="25"/>
        <v>0</v>
      </c>
      <c r="F74" s="105">
        <f t="shared" si="9"/>
        <v>0</v>
      </c>
      <c r="G74" s="103">
        <f t="shared" si="35"/>
        <v>0</v>
      </c>
      <c r="H74" s="218">
        <f>IF(OR(Rekenblad!B$35&lt;15,Rekenblad!B$35&gt;65),0,IF(Rekenblad!B$15,VLOOKUP(Rekenblad!B$35,Tabel_totaalrecht!A$6:AY$55,maatman!A74-2008,FALSE),VLOOKUP(Rekenblad!B$35,Tabel_basisrecht!A$6:AY$55,maatman!A74-2008,FALSE)))</f>
        <v>0</v>
      </c>
      <c r="I74" s="218">
        <f>H74*Rekenblad!B$24</f>
        <v>0</v>
      </c>
      <c r="J74" s="276">
        <f>I74*('Mijn spaartegoed'!D$17/100)</f>
        <v>0</v>
      </c>
      <c r="K74" s="151">
        <f t="shared" si="26"/>
        <v>0</v>
      </c>
      <c r="L74" s="148">
        <f t="shared" si="20"/>
        <v>0</v>
      </c>
      <c r="M74" s="148">
        <f t="shared" si="21"/>
        <v>0</v>
      </c>
      <c r="N74" s="104">
        <f t="shared" si="36"/>
        <v>0</v>
      </c>
      <c r="O74" s="104">
        <f t="shared" si="22"/>
        <v>0</v>
      </c>
      <c r="P74" s="105">
        <f t="shared" si="38"/>
        <v>0</v>
      </c>
      <c r="Q74" s="105">
        <f t="shared" si="37"/>
        <v>10530</v>
      </c>
      <c r="R74" s="105">
        <f t="shared" si="27"/>
        <v>0</v>
      </c>
      <c r="S74" s="105">
        <f t="shared" si="28"/>
        <v>0</v>
      </c>
      <c r="T74" s="229">
        <f t="shared" si="16"/>
        <v>0</v>
      </c>
      <c r="U74" s="235">
        <f t="shared" si="17"/>
        <v>0</v>
      </c>
      <c r="V74" s="227">
        <f t="shared" si="29"/>
        <v>0</v>
      </c>
      <c r="W74" s="105">
        <f t="shared" si="39"/>
        <v>0</v>
      </c>
      <c r="X74" s="105">
        <f t="shared" si="24"/>
        <v>0</v>
      </c>
      <c r="Y74" s="105">
        <f t="shared" si="23"/>
        <v>0</v>
      </c>
      <c r="Z74" s="223">
        <f>IF(Rekenblad!B82&gt;=50,SUM(J$21:J74)*E74,(SUM(J70:J74)*E74)+(SUM(Y$21:Y69)))</f>
        <v>0</v>
      </c>
      <c r="AA74" s="227">
        <f t="shared" si="30"/>
        <v>0</v>
      </c>
      <c r="AB74" s="105">
        <f t="shared" si="18"/>
        <v>0</v>
      </c>
      <c r="AC74" s="229">
        <f t="shared" si="19"/>
        <v>0</v>
      </c>
      <c r="AD74" s="228">
        <f>F74*('Mijn spaartegoed'!E$34/100)</f>
        <v>0</v>
      </c>
      <c r="AE74" s="238">
        <f t="shared" si="31"/>
        <v>0</v>
      </c>
    </row>
    <row r="75" spans="1:31" ht="12.75">
      <c r="A75" s="94">
        <f t="shared" si="32"/>
        <v>2064</v>
      </c>
      <c r="B75" s="94" t="b">
        <f t="shared" si="33"/>
        <v>1</v>
      </c>
      <c r="C75" s="94">
        <f t="shared" si="34"/>
        <v>164</v>
      </c>
      <c r="D75" s="119">
        <f>IF(H74=0,0,IF($B75,D74*(1+$D$5)*(1+VLOOKUP(C74,carriere!$A$2:$D$52,4)),""))</f>
        <v>0</v>
      </c>
      <c r="E75" s="105">
        <f t="shared" si="25"/>
        <v>0</v>
      </c>
      <c r="F75" s="105">
        <f t="shared" si="9"/>
        <v>0</v>
      </c>
      <c r="G75" s="103">
        <f t="shared" si="35"/>
        <v>0</v>
      </c>
      <c r="H75" s="218">
        <f>IF(OR(Rekenblad!B$35&lt;15,Rekenblad!B$35&gt;65),0,IF(Rekenblad!B$15,VLOOKUP(Rekenblad!B$35,Tabel_totaalrecht!A$6:AY$55,maatman!A75-2008,FALSE),VLOOKUP(Rekenblad!B$35,Tabel_basisrecht!A$6:AY$55,maatman!A75-2008,FALSE)))</f>
        <v>0</v>
      </c>
      <c r="I75" s="218">
        <f>H75*Rekenblad!B$24</f>
        <v>0</v>
      </c>
      <c r="J75" s="276">
        <f>I75*('Mijn spaartegoed'!D$17/100)</f>
        <v>0</v>
      </c>
      <c r="K75" s="151">
        <f t="shared" si="26"/>
        <v>0</v>
      </c>
      <c r="L75" s="148">
        <f t="shared" si="20"/>
        <v>0</v>
      </c>
      <c r="M75" s="148">
        <f t="shared" si="21"/>
        <v>0</v>
      </c>
      <c r="N75" s="104">
        <f t="shared" si="36"/>
        <v>0</v>
      </c>
      <c r="O75" s="104">
        <f t="shared" si="22"/>
        <v>0</v>
      </c>
      <c r="P75" s="105">
        <f t="shared" si="38"/>
        <v>0</v>
      </c>
      <c r="Q75" s="105">
        <f t="shared" si="37"/>
        <v>10725</v>
      </c>
      <c r="R75" s="105">
        <f t="shared" si="27"/>
        <v>0</v>
      </c>
      <c r="S75" s="105">
        <f t="shared" si="28"/>
        <v>0</v>
      </c>
      <c r="T75" s="229">
        <f t="shared" si="16"/>
        <v>0</v>
      </c>
      <c r="U75" s="235">
        <f t="shared" si="17"/>
        <v>0</v>
      </c>
      <c r="V75" s="227">
        <f t="shared" si="29"/>
        <v>0</v>
      </c>
      <c r="W75" s="105">
        <f t="shared" si="39"/>
        <v>0</v>
      </c>
      <c r="X75" s="105">
        <f t="shared" si="24"/>
        <v>0</v>
      </c>
      <c r="Y75" s="105">
        <f t="shared" si="23"/>
        <v>0</v>
      </c>
      <c r="Z75" s="223">
        <f>IF(Rekenblad!B83&gt;=50,SUM(J$21:J75)*E75,(SUM(J71:J75)*E75)+(SUM(Y$21:Y70)))</f>
        <v>0</v>
      </c>
      <c r="AA75" s="227">
        <f t="shared" si="30"/>
        <v>0</v>
      </c>
      <c r="AB75" s="105">
        <f t="shared" si="18"/>
        <v>0</v>
      </c>
      <c r="AC75" s="229">
        <f t="shared" si="19"/>
        <v>0</v>
      </c>
      <c r="AD75" s="228">
        <f>F75*('Mijn spaartegoed'!E$34/100)</f>
        <v>0</v>
      </c>
      <c r="AE75" s="238">
        <f t="shared" si="31"/>
        <v>0</v>
      </c>
    </row>
    <row r="76" spans="1:31" ht="12.75">
      <c r="A76" s="94">
        <f t="shared" si="32"/>
        <v>2065</v>
      </c>
      <c r="B76" s="94" t="b">
        <f t="shared" si="33"/>
        <v>1</v>
      </c>
      <c r="C76" s="94">
        <f t="shared" si="34"/>
        <v>165</v>
      </c>
      <c r="D76" s="119">
        <f>IF(H75=0,0,IF($B76,D75*(1+$D$5)*(1+VLOOKUP(C75,carriere!$A$2:$D$52,4)),""))</f>
        <v>0</v>
      </c>
      <c r="E76" s="105">
        <f t="shared" si="25"/>
        <v>0</v>
      </c>
      <c r="F76" s="105">
        <f t="shared" si="9"/>
        <v>0</v>
      </c>
      <c r="G76" s="103">
        <f t="shared" si="35"/>
        <v>0</v>
      </c>
      <c r="H76" s="218">
        <f>IF(OR(Rekenblad!B$35&lt;15,Rekenblad!B$35&gt;65),0,IF(Rekenblad!B$15,VLOOKUP(Rekenblad!B$35,Tabel_totaalrecht!A$6:AY$55,maatman!A76-2008,FALSE),VLOOKUP(Rekenblad!B$35,Tabel_basisrecht!A$6:AY$55,maatman!A76-2008,FALSE)))</f>
        <v>0</v>
      </c>
      <c r="I76" s="218">
        <f>H76*Rekenblad!B$24</f>
        <v>0</v>
      </c>
      <c r="J76" s="276">
        <f>I76*('Mijn spaartegoed'!D$17/100)</f>
        <v>0</v>
      </c>
      <c r="K76" s="151">
        <f t="shared" si="26"/>
        <v>0</v>
      </c>
      <c r="L76" s="148">
        <f t="shared" si="20"/>
        <v>0</v>
      </c>
      <c r="M76" s="148">
        <f t="shared" si="21"/>
        <v>0</v>
      </c>
      <c r="N76" s="104">
        <f t="shared" si="36"/>
        <v>0</v>
      </c>
      <c r="O76" s="104">
        <f t="shared" si="22"/>
        <v>0</v>
      </c>
      <c r="P76" s="105">
        <f t="shared" si="38"/>
        <v>0</v>
      </c>
      <c r="Q76" s="105">
        <f t="shared" si="37"/>
        <v>10920</v>
      </c>
      <c r="R76" s="105">
        <f t="shared" si="27"/>
        <v>0</v>
      </c>
      <c r="S76" s="105">
        <f t="shared" si="28"/>
        <v>0</v>
      </c>
      <c r="T76" s="229">
        <f t="shared" si="16"/>
        <v>0</v>
      </c>
      <c r="U76" s="235">
        <f t="shared" si="17"/>
        <v>0</v>
      </c>
      <c r="V76" s="227">
        <f t="shared" si="29"/>
        <v>0</v>
      </c>
      <c r="W76" s="105">
        <f t="shared" si="39"/>
        <v>0</v>
      </c>
      <c r="X76" s="105">
        <f t="shared" si="24"/>
        <v>0</v>
      </c>
      <c r="Y76" s="105">
        <f t="shared" si="23"/>
        <v>0</v>
      </c>
      <c r="Z76" s="223">
        <f>IF(Rekenblad!B84&gt;=50,SUM(J$21:J76)*E76,(SUM(J72:J76)*E76)+(SUM(Y$21:Y71)))</f>
        <v>0</v>
      </c>
      <c r="AA76" s="227">
        <f t="shared" si="30"/>
        <v>0</v>
      </c>
      <c r="AB76" s="105">
        <f t="shared" si="18"/>
        <v>0</v>
      </c>
      <c r="AC76" s="229">
        <f t="shared" si="19"/>
        <v>0</v>
      </c>
      <c r="AD76" s="228">
        <f>F76*('Mijn spaartegoed'!E$34/100)</f>
        <v>0</v>
      </c>
      <c r="AE76" s="238">
        <f t="shared" si="31"/>
        <v>0</v>
      </c>
    </row>
    <row r="77" spans="1:31" ht="12.75">
      <c r="A77" s="94">
        <f t="shared" si="32"/>
        <v>2066</v>
      </c>
      <c r="B77" s="94" t="b">
        <f t="shared" si="33"/>
        <v>1</v>
      </c>
      <c r="C77" s="94">
        <f t="shared" si="34"/>
        <v>166</v>
      </c>
      <c r="D77" s="119">
        <f>IF(H76=0,0,IF($B77,D76*(1+$D$5)*(1+VLOOKUP(C76,carriere!$A$2:$D$52,4)),""))</f>
        <v>0</v>
      </c>
      <c r="E77" s="105">
        <f t="shared" si="25"/>
        <v>0</v>
      </c>
      <c r="F77" s="105">
        <f t="shared" si="9"/>
        <v>0</v>
      </c>
      <c r="G77" s="103">
        <f t="shared" si="35"/>
        <v>0</v>
      </c>
      <c r="H77" s="218">
        <f>IF(OR(Rekenblad!B$35&lt;15,Rekenblad!B$35&gt;65),0,IF(Rekenblad!B$15,VLOOKUP(Rekenblad!B$35,Tabel_totaalrecht!A$6:AY$55,maatman!A77-2008,FALSE),VLOOKUP(Rekenblad!B$35,Tabel_basisrecht!A$6:AY$55,maatman!A77-2008,FALSE)))</f>
        <v>0</v>
      </c>
      <c r="I77" s="218">
        <f>H77*Rekenblad!B$24</f>
        <v>0</v>
      </c>
      <c r="J77" s="276">
        <f>I77*('Mijn spaartegoed'!D$17/100)</f>
        <v>0</v>
      </c>
      <c r="K77" s="151">
        <f t="shared" si="26"/>
        <v>0</v>
      </c>
      <c r="L77" s="148">
        <f t="shared" si="20"/>
        <v>0</v>
      </c>
      <c r="M77" s="148">
        <f t="shared" si="21"/>
        <v>0</v>
      </c>
      <c r="N77" s="104">
        <f t="shared" si="36"/>
        <v>0</v>
      </c>
      <c r="O77" s="104">
        <f t="shared" si="22"/>
        <v>0</v>
      </c>
      <c r="P77" s="105">
        <f t="shared" si="38"/>
        <v>0</v>
      </c>
      <c r="Q77" s="105">
        <f t="shared" si="37"/>
        <v>11115</v>
      </c>
      <c r="R77" s="105">
        <f t="shared" si="27"/>
        <v>0</v>
      </c>
      <c r="S77" s="105">
        <f t="shared" si="28"/>
        <v>0</v>
      </c>
      <c r="T77" s="229">
        <f t="shared" si="16"/>
        <v>0</v>
      </c>
      <c r="U77" s="235">
        <f t="shared" si="17"/>
        <v>0</v>
      </c>
      <c r="V77" s="227">
        <f t="shared" si="29"/>
        <v>0</v>
      </c>
      <c r="W77" s="105">
        <f t="shared" si="39"/>
        <v>0</v>
      </c>
      <c r="X77" s="105">
        <f t="shared" si="24"/>
        <v>0</v>
      </c>
      <c r="Y77" s="105">
        <f t="shared" si="23"/>
        <v>0</v>
      </c>
      <c r="Z77" s="223">
        <f>IF(Rekenblad!B85&gt;=50,SUM(J$21:J77)*E77,(SUM(J73:J77)*E77)+(SUM(Y$21:Y72)))</f>
        <v>0</v>
      </c>
      <c r="AA77" s="227">
        <f t="shared" si="30"/>
        <v>0</v>
      </c>
      <c r="AB77" s="105">
        <f t="shared" si="18"/>
        <v>0</v>
      </c>
      <c r="AC77" s="229">
        <f t="shared" si="19"/>
        <v>0</v>
      </c>
      <c r="AD77" s="228">
        <f>F77*('Mijn spaartegoed'!E$34/100)</f>
        <v>0</v>
      </c>
      <c r="AE77" s="238">
        <f t="shared" si="31"/>
        <v>0</v>
      </c>
    </row>
    <row r="78" spans="1:31" ht="12.75">
      <c r="A78" s="94">
        <f t="shared" si="32"/>
        <v>2067</v>
      </c>
      <c r="B78" s="94" t="b">
        <f t="shared" si="33"/>
        <v>1</v>
      </c>
      <c r="C78" s="94">
        <f t="shared" si="34"/>
        <v>167</v>
      </c>
      <c r="D78" s="119">
        <f>IF(H77=0,0,IF($B78,D77*(1+$D$5)*(1+VLOOKUP(C77,carriere!$A$2:$D$52,4)),""))</f>
        <v>0</v>
      </c>
      <c r="E78" s="105">
        <f t="shared" si="25"/>
        <v>0</v>
      </c>
      <c r="F78" s="105">
        <f t="shared" si="9"/>
        <v>0</v>
      </c>
      <c r="G78" s="103">
        <f t="shared" si="35"/>
        <v>0</v>
      </c>
      <c r="H78" s="218">
        <f>IF(OR(Rekenblad!B$35&lt;15,Rekenblad!B$35&gt;65),0,IF(Rekenblad!B$15,VLOOKUP(Rekenblad!B$35,Tabel_totaalrecht!A$6:AY$55,maatman!A78-2008,FALSE),VLOOKUP(Rekenblad!B$35,Tabel_basisrecht!A$6:AY$55,maatman!A78-2008,FALSE)))</f>
        <v>0</v>
      </c>
      <c r="I78" s="218">
        <f>H78*Rekenblad!B$24</f>
        <v>0</v>
      </c>
      <c r="J78" s="276">
        <f>I78*('Mijn spaartegoed'!D$17/100)</f>
        <v>0</v>
      </c>
      <c r="K78" s="151">
        <f t="shared" si="26"/>
        <v>0</v>
      </c>
      <c r="L78" s="148">
        <f t="shared" si="20"/>
        <v>0</v>
      </c>
      <c r="M78" s="148">
        <f t="shared" si="21"/>
        <v>0</v>
      </c>
      <c r="N78" s="104">
        <f t="shared" si="36"/>
        <v>0</v>
      </c>
      <c r="O78" s="104">
        <f t="shared" si="22"/>
        <v>0</v>
      </c>
      <c r="P78" s="105">
        <f t="shared" si="38"/>
        <v>0</v>
      </c>
      <c r="Q78" s="105">
        <f t="shared" si="37"/>
        <v>11310</v>
      </c>
      <c r="R78" s="105">
        <f t="shared" si="27"/>
        <v>0</v>
      </c>
      <c r="S78" s="105">
        <f t="shared" si="28"/>
        <v>0</v>
      </c>
      <c r="T78" s="229">
        <f t="shared" si="16"/>
        <v>0</v>
      </c>
      <c r="U78" s="235">
        <f t="shared" si="17"/>
        <v>0</v>
      </c>
      <c r="V78" s="227">
        <f t="shared" si="29"/>
        <v>0</v>
      </c>
      <c r="W78" s="105">
        <f t="shared" si="39"/>
        <v>0</v>
      </c>
      <c r="X78" s="105">
        <f t="shared" si="24"/>
        <v>0</v>
      </c>
      <c r="Y78" s="105">
        <f t="shared" si="23"/>
        <v>0</v>
      </c>
      <c r="Z78" s="223">
        <f>IF(Rekenblad!B86&gt;=50,SUM(J$21:J78)*E78,(SUM(J74:J78)*E78)+(SUM(Y$21:Y73)))</f>
        <v>0</v>
      </c>
      <c r="AA78" s="227">
        <f t="shared" si="30"/>
        <v>0</v>
      </c>
      <c r="AB78" s="105">
        <f t="shared" si="18"/>
        <v>0</v>
      </c>
      <c r="AC78" s="229">
        <f t="shared" si="19"/>
        <v>0</v>
      </c>
      <c r="AD78" s="228">
        <f>F78*('Mijn spaartegoed'!E$34/100)</f>
        <v>0</v>
      </c>
      <c r="AE78" s="238">
        <f t="shared" si="31"/>
        <v>0</v>
      </c>
    </row>
    <row r="79" spans="1:31" ht="12.75">
      <c r="A79" s="94">
        <f t="shared" si="32"/>
        <v>2068</v>
      </c>
      <c r="B79" s="94" t="b">
        <f t="shared" si="33"/>
        <v>1</v>
      </c>
      <c r="C79" s="94">
        <f t="shared" si="34"/>
        <v>168</v>
      </c>
      <c r="D79" s="119">
        <f>IF(H78=0,0,IF($B79,D78*(1+$D$5)*(1+VLOOKUP(C78,carriere!$A$2:$D$52,4)),""))</f>
        <v>0</v>
      </c>
      <c r="E79" s="105">
        <f t="shared" si="25"/>
        <v>0</v>
      </c>
      <c r="F79" s="105">
        <f t="shared" si="9"/>
        <v>0</v>
      </c>
      <c r="G79" s="103">
        <f t="shared" si="35"/>
        <v>0</v>
      </c>
      <c r="H79" s="218">
        <f>IF(OR(Rekenblad!B$35&lt;15,Rekenblad!B$35&gt;65),0,IF(Rekenblad!B$15,VLOOKUP(Rekenblad!B$35,Tabel_totaalrecht!A$6:AY$55,maatman!A79-2008,FALSE),VLOOKUP(Rekenblad!B$35,Tabel_basisrecht!A$6:AY$55,maatman!A79-2008,FALSE)))</f>
        <v>0</v>
      </c>
      <c r="I79" s="218">
        <f>H79*Rekenblad!B$24</f>
        <v>0</v>
      </c>
      <c r="J79" s="276">
        <f>I79*('Mijn spaartegoed'!D$17/100)</f>
        <v>0</v>
      </c>
      <c r="K79" s="151">
        <f t="shared" si="26"/>
        <v>0</v>
      </c>
      <c r="L79" s="148">
        <f t="shared" si="20"/>
        <v>0</v>
      </c>
      <c r="M79" s="148">
        <f t="shared" si="21"/>
        <v>0</v>
      </c>
      <c r="N79" s="104">
        <f t="shared" si="36"/>
        <v>0</v>
      </c>
      <c r="O79" s="104">
        <f t="shared" si="22"/>
        <v>0</v>
      </c>
      <c r="P79" s="105">
        <f t="shared" si="38"/>
        <v>0</v>
      </c>
      <c r="Q79" s="105">
        <f t="shared" si="37"/>
        <v>11505</v>
      </c>
      <c r="R79" s="105">
        <f t="shared" si="27"/>
        <v>0</v>
      </c>
      <c r="S79" s="105">
        <f t="shared" si="28"/>
        <v>0</v>
      </c>
      <c r="T79" s="229">
        <f t="shared" si="16"/>
        <v>0</v>
      </c>
      <c r="U79" s="235">
        <f t="shared" si="17"/>
        <v>0</v>
      </c>
      <c r="V79" s="227">
        <f t="shared" si="29"/>
        <v>0</v>
      </c>
      <c r="W79" s="105">
        <f t="shared" si="39"/>
        <v>0</v>
      </c>
      <c r="X79" s="105">
        <f t="shared" si="24"/>
        <v>0</v>
      </c>
      <c r="Y79" s="105">
        <f t="shared" si="23"/>
        <v>0</v>
      </c>
      <c r="Z79" s="223">
        <f>IF(Rekenblad!B87&gt;=50,SUM(J$21:J79)*E79,(SUM(J75:J79)*E79)+(SUM(Y$21:Y74)))</f>
        <v>0</v>
      </c>
      <c r="AA79" s="227">
        <f t="shared" si="30"/>
        <v>0</v>
      </c>
      <c r="AB79" s="105">
        <f t="shared" si="18"/>
        <v>0</v>
      </c>
      <c r="AC79" s="229">
        <f t="shared" si="19"/>
        <v>0</v>
      </c>
      <c r="AD79" s="228">
        <f>F79*('Mijn spaartegoed'!E$34/100)</f>
        <v>0</v>
      </c>
      <c r="AE79" s="238">
        <f t="shared" si="31"/>
        <v>0</v>
      </c>
    </row>
    <row r="80" spans="1:31" ht="12.75">
      <c r="A80" s="94">
        <f t="shared" si="32"/>
        <v>2069</v>
      </c>
      <c r="B80" s="94" t="b">
        <f t="shared" si="33"/>
        <v>1</v>
      </c>
      <c r="C80" s="94">
        <f t="shared" si="34"/>
        <v>169</v>
      </c>
      <c r="D80" s="119">
        <f>IF(H79=0,0,IF($B80,D79*(1+$D$5)*(1+VLOOKUP(C79,carriere!$A$2:$D$52,4)),""))</f>
        <v>0</v>
      </c>
      <c r="E80" s="105">
        <f t="shared" si="25"/>
        <v>0</v>
      </c>
      <c r="F80" s="105">
        <f t="shared" si="9"/>
        <v>0</v>
      </c>
      <c r="G80" s="103">
        <f t="shared" si="35"/>
        <v>0</v>
      </c>
      <c r="H80" s="218">
        <f>IF(OR(Rekenblad!B$35&lt;15,Rekenblad!B$35&gt;65),0,IF(Rekenblad!B$15,VLOOKUP(Rekenblad!B$35,Tabel_totaalrecht!A$6:AY$55,maatman!A80-2008,FALSE),VLOOKUP(Rekenblad!B$35,Tabel_basisrecht!A$6:AY$55,maatman!A80-2008,FALSE)))</f>
        <v>0</v>
      </c>
      <c r="I80" s="218">
        <f>H80*Rekenblad!B$24</f>
        <v>0</v>
      </c>
      <c r="J80" s="276">
        <f>I80*('Mijn spaartegoed'!D$17/100)</f>
        <v>0</v>
      </c>
      <c r="K80" s="151">
        <f t="shared" si="26"/>
        <v>0</v>
      </c>
      <c r="L80" s="148">
        <f t="shared" si="20"/>
        <v>0</v>
      </c>
      <c r="M80" s="148">
        <f t="shared" si="21"/>
        <v>0</v>
      </c>
      <c r="N80" s="104">
        <f t="shared" si="36"/>
        <v>0</v>
      </c>
      <c r="O80" s="104">
        <f t="shared" si="22"/>
        <v>0</v>
      </c>
      <c r="P80" s="105">
        <f t="shared" si="38"/>
        <v>0</v>
      </c>
      <c r="Q80" s="105">
        <f t="shared" si="37"/>
        <v>11700</v>
      </c>
      <c r="R80" s="105">
        <f t="shared" si="27"/>
        <v>0</v>
      </c>
      <c r="S80" s="105">
        <f t="shared" si="28"/>
        <v>0</v>
      </c>
      <c r="T80" s="229">
        <f t="shared" si="16"/>
        <v>0</v>
      </c>
      <c r="U80" s="235">
        <f t="shared" si="17"/>
        <v>0</v>
      </c>
      <c r="V80" s="227">
        <f t="shared" si="29"/>
        <v>0</v>
      </c>
      <c r="W80" s="105">
        <f t="shared" si="39"/>
        <v>0</v>
      </c>
      <c r="X80" s="105">
        <f t="shared" si="24"/>
        <v>0</v>
      </c>
      <c r="Y80" s="105">
        <f t="shared" si="23"/>
        <v>0</v>
      </c>
      <c r="Z80" s="223">
        <f>IF(Rekenblad!B88&gt;=50,SUM(J$21:J80)*E80,(SUM(J76:J80)*E80)+(SUM(Y$21:Y75)))</f>
        <v>0</v>
      </c>
      <c r="AA80" s="227">
        <f t="shared" si="30"/>
        <v>0</v>
      </c>
      <c r="AB80" s="105">
        <f t="shared" si="18"/>
        <v>0</v>
      </c>
      <c r="AC80" s="229">
        <f t="shared" si="19"/>
        <v>0</v>
      </c>
      <c r="AD80" s="228">
        <f>F80*('Mijn spaartegoed'!E$34/100)</f>
        <v>0</v>
      </c>
      <c r="AE80" s="238">
        <f t="shared" si="31"/>
        <v>0</v>
      </c>
    </row>
    <row r="81" spans="4:31" ht="12.75">
      <c r="D81" s="103"/>
      <c r="G81" s="103"/>
      <c r="Y81" s="105">
        <f t="shared" si="23"/>
        <v>0</v>
      </c>
      <c r="Z81" s="223">
        <f>IF(Rekenblad!B89&gt;=50,SUM(J$21:J81)*E81,(SUM(J77:J81)*E81)+(SUM(Y$21:Y76)))</f>
        <v>0</v>
      </c>
      <c r="AA81" s="227">
        <f t="shared" si="30"/>
        <v>0</v>
      </c>
      <c r="AB81" s="105">
        <f t="shared" si="18"/>
        <v>0</v>
      </c>
      <c r="AC81" s="229">
        <f t="shared" si="19"/>
        <v>0</v>
      </c>
      <c r="AD81" s="228">
        <f>F81*('Mijn spaartegoed'!E$34/100)</f>
        <v>0</v>
      </c>
      <c r="AE81" s="238">
        <f t="shared" si="31"/>
        <v>0</v>
      </c>
    </row>
    <row r="82" spans="1:31" ht="12.75">
      <c r="A82" s="94">
        <v>1</v>
      </c>
      <c r="D82" s="103"/>
      <c r="G82" s="103"/>
      <c r="Y82" s="105">
        <f t="shared" si="23"/>
        <v>0</v>
      </c>
      <c r="Z82" s="223">
        <f>IF(Rekenblad!B90&gt;=50,SUM(J$21:J82)*E82,(SUM(J78:J82)*E82)+(SUM(Y$21:Y77)))</f>
        <v>0</v>
      </c>
      <c r="AA82" s="227">
        <f t="shared" si="30"/>
        <v>0</v>
      </c>
      <c r="AB82" s="105">
        <f t="shared" si="18"/>
        <v>0</v>
      </c>
      <c r="AC82" s="229">
        <f t="shared" si="19"/>
        <v>0</v>
      </c>
      <c r="AD82" s="228">
        <f>F82*('Mijn spaartegoed'!E$34/100)</f>
        <v>0</v>
      </c>
      <c r="AE82" s="238">
        <f t="shared" si="31"/>
        <v>0</v>
      </c>
    </row>
    <row r="83" spans="4:31" ht="12.75">
      <c r="D83" s="103"/>
      <c r="G83" s="103"/>
      <c r="Y83" s="105">
        <f t="shared" si="23"/>
        <v>0</v>
      </c>
      <c r="Z83" s="223">
        <f>IF(Rekenblad!B91&gt;=50,SUM(J$21:J83)*E83,(SUM(J79:J83)*E83)+(SUM(Y$21:Y78)))</f>
        <v>0</v>
      </c>
      <c r="AA83" s="227">
        <f t="shared" si="30"/>
        <v>0</v>
      </c>
      <c r="AB83" s="105">
        <f t="shared" si="18"/>
        <v>0</v>
      </c>
      <c r="AC83" s="229">
        <f t="shared" si="19"/>
        <v>0</v>
      </c>
      <c r="AD83" s="228">
        <f>F83*('Mijn spaartegoed'!E$34/100)</f>
        <v>0</v>
      </c>
      <c r="AE83" s="238">
        <f t="shared" si="31"/>
        <v>0</v>
      </c>
    </row>
    <row r="84" spans="4:31" ht="12.75">
      <c r="D84" s="103"/>
      <c r="G84" s="103"/>
      <c r="Y84" s="105">
        <f t="shared" si="23"/>
        <v>0</v>
      </c>
      <c r="Z84" s="223">
        <f>IF(Rekenblad!B92&gt;=50,SUM(J$21:J84)*E84,(SUM(J80:J84)*E84)+(SUM(Y$21:Y79)))</f>
        <v>0</v>
      </c>
      <c r="AA84" s="227">
        <f t="shared" si="30"/>
        <v>0</v>
      </c>
      <c r="AB84" s="105">
        <f t="shared" si="18"/>
        <v>0</v>
      </c>
      <c r="AC84" s="229">
        <f t="shared" si="19"/>
        <v>0</v>
      </c>
      <c r="AD84" s="228">
        <f>F84*('Mijn spaartegoed'!E$34/100)</f>
        <v>0</v>
      </c>
      <c r="AE84" s="238">
        <f t="shared" si="31"/>
        <v>0</v>
      </c>
    </row>
    <row r="85" spans="4:31" ht="12.75">
      <c r="D85" s="103"/>
      <c r="G85" s="103"/>
      <c r="Y85" s="105">
        <f t="shared" si="23"/>
        <v>0</v>
      </c>
      <c r="Z85" s="223">
        <f>IF(Rekenblad!B93&gt;=50,SUM(J$21:J85)*E85,(SUM(J81:J85)*E85)+(SUM(Y$21:Y80)))</f>
        <v>0</v>
      </c>
      <c r="AA85" s="227">
        <f>Z85*D$8</f>
        <v>0</v>
      </c>
      <c r="AB85" s="105">
        <f t="shared" si="18"/>
        <v>0</v>
      </c>
      <c r="AC85" s="229">
        <f t="shared" si="19"/>
        <v>0</v>
      </c>
      <c r="AD85" s="228">
        <f>F85*('Mijn spaartegoed'!E$34/100)</f>
        <v>0</v>
      </c>
      <c r="AE85" s="238">
        <f>IF(AD85=0,0,S85/AD85)</f>
        <v>0</v>
      </c>
    </row>
    <row r="86" spans="4:31" ht="12.75">
      <c r="D86" s="103"/>
      <c r="G86" s="103"/>
      <c r="Y86" s="105">
        <f t="shared" si="23"/>
        <v>0</v>
      </c>
      <c r="Z86" s="223">
        <f>IF(Rekenblad!B94&gt;=50,SUM(J$21:J86)*E86,(SUM(J82:J86)*E86)+(SUM(Y$21:Y81)))</f>
        <v>0</v>
      </c>
      <c r="AA86" s="227">
        <f>Z86*D$8</f>
        <v>0</v>
      </c>
      <c r="AB86" s="105">
        <f>Z86-AA86</f>
        <v>0</v>
      </c>
      <c r="AC86" s="229">
        <f>IF(OR(J86=0,F86=0),0,AB86/F86)</f>
        <v>0</v>
      </c>
      <c r="AD86" s="228">
        <f>F86*('Mijn spaartegoed'!E$34/100)</f>
        <v>0</v>
      </c>
      <c r="AE86" s="238">
        <f>IF(AD86=0,0,S86/AD86)</f>
        <v>0</v>
      </c>
    </row>
    <row r="87" spans="4:31" ht="12.75">
      <c r="D87" s="106"/>
      <c r="Y87" s="105">
        <f>J87*E91</f>
        <v>0</v>
      </c>
      <c r="Z87" s="223">
        <f>IF(Rekenblad!B95&gt;=50,SUM(J$21:J87)*E87,(SUM(J83:J87)*E87)+(SUM(Y$21:Y82)))</f>
        <v>0</v>
      </c>
      <c r="AA87" s="227">
        <f>Z87*D$8</f>
        <v>0</v>
      </c>
      <c r="AB87" s="105">
        <f>Z87-AA87</f>
        <v>0</v>
      </c>
      <c r="AC87" s="229">
        <f>IF(OR(J87=0,F87=0),0,AB87/F87)</f>
        <v>0</v>
      </c>
      <c r="AD87" s="228">
        <f>F87*('Mijn spaartegoed'!E$34/100)</f>
        <v>0</v>
      </c>
      <c r="AE87" s="238">
        <f>IF(AD87=0,0,S87/AD87)</f>
        <v>0</v>
      </c>
    </row>
    <row r="88" spans="4:31" ht="12.75">
      <c r="D88" s="106"/>
      <c r="Y88" s="105">
        <f>J88*E92</f>
        <v>0</v>
      </c>
      <c r="Z88" s="223">
        <f>IF(Rekenblad!B96&gt;=50,SUM(J$21:J88)*E88,(SUM(J84:J88)*E88)+(SUM(Y$21:Y83)))</f>
        <v>0</v>
      </c>
      <c r="AA88" s="227">
        <f>Z88*D$8</f>
        <v>0</v>
      </c>
      <c r="AB88" s="105">
        <f>Z88-AA88</f>
        <v>0</v>
      </c>
      <c r="AC88" s="229">
        <f>IF(OR(J88=0,F88=0),0,AB88/F88)</f>
        <v>0</v>
      </c>
      <c r="AD88" s="228">
        <f>F88*('Mijn spaartegoed'!E$34/100)</f>
        <v>0</v>
      </c>
      <c r="AE88" s="238">
        <f>IF(AD88=0,0,S88/AD88)</f>
        <v>0</v>
      </c>
    </row>
    <row r="89" spans="4:31" ht="12.75">
      <c r="D89" s="106"/>
      <c r="Y89" s="105">
        <f>J89*E93</f>
        <v>0</v>
      </c>
      <c r="Z89" s="223">
        <f>IF(Rekenblad!B97&gt;=50,SUM(J$21:J89)*E89,(SUM(J85:J89)*E89)+(SUM(Y$21:Y84)))</f>
        <v>0</v>
      </c>
      <c r="AA89" s="227">
        <f>Z89*D$8</f>
        <v>0</v>
      </c>
      <c r="AB89" s="105">
        <f>Z89-AA89</f>
        <v>0</v>
      </c>
      <c r="AC89" s="229">
        <f>IF(OR(J89=0,F89=0),0,AB89/F89)</f>
        <v>0</v>
      </c>
      <c r="AD89" s="228">
        <f>F89*('Mijn spaartegoed'!E$34/100)</f>
        <v>0</v>
      </c>
      <c r="AE89" s="238">
        <f>IF(AD89=0,0,S89/AD89)</f>
        <v>0</v>
      </c>
    </row>
    <row r="90" ht="12.75">
      <c r="Z90" s="223">
        <f>IF(Rekenblad!B98&gt;=50,SUM(J$21:J90)*E90,(SUM(J86:J90)*E90)+(SUM(Y$21:Y85)))</f>
        <v>0</v>
      </c>
    </row>
    <row r="91" spans="1:31" ht="12.75">
      <c r="A91" s="94">
        <v>1</v>
      </c>
      <c r="B91" s="94">
        <v>2</v>
      </c>
      <c r="C91" s="94">
        <v>3</v>
      </c>
      <c r="D91" s="94">
        <v>4</v>
      </c>
      <c r="E91" s="94">
        <v>5</v>
      </c>
      <c r="F91" s="94">
        <v>6</v>
      </c>
      <c r="G91" s="94">
        <v>7</v>
      </c>
      <c r="H91" s="94">
        <v>8</v>
      </c>
      <c r="I91" s="94">
        <v>9</v>
      </c>
      <c r="J91" s="94">
        <v>10</v>
      </c>
      <c r="K91" s="94">
        <v>11</v>
      </c>
      <c r="L91" s="94">
        <v>12</v>
      </c>
      <c r="M91" s="94">
        <v>13</v>
      </c>
      <c r="N91" s="94">
        <v>14</v>
      </c>
      <c r="O91" s="94">
        <v>15</v>
      </c>
      <c r="P91" s="94">
        <v>16</v>
      </c>
      <c r="Q91" s="94">
        <v>17</v>
      </c>
      <c r="R91" s="94">
        <v>18</v>
      </c>
      <c r="S91" s="94">
        <v>19</v>
      </c>
      <c r="T91" s="94">
        <v>20</v>
      </c>
      <c r="U91" s="94">
        <v>21</v>
      </c>
      <c r="V91" s="94">
        <v>22</v>
      </c>
      <c r="W91" s="94">
        <v>23</v>
      </c>
      <c r="X91" s="94">
        <v>24</v>
      </c>
      <c r="Y91" s="94">
        <v>25</v>
      </c>
      <c r="Z91" s="223">
        <f>IF(Rekenblad!B99&gt;=50,SUM(J$21:J91)*E91,(SUM(J87:J91)*E91)+(SUM(Y$21:Y86)))</f>
        <v>50</v>
      </c>
      <c r="AA91" s="94">
        <v>27</v>
      </c>
      <c r="AB91" s="94">
        <v>28</v>
      </c>
      <c r="AC91" s="94">
        <v>29</v>
      </c>
      <c r="AD91" s="94">
        <v>30</v>
      </c>
      <c r="AE91" s="94">
        <v>31</v>
      </c>
    </row>
  </sheetData>
  <sheetProtection password="DCBC" sheet="1"/>
  <mergeCells count="3">
    <mergeCell ref="P19:S19"/>
    <mergeCell ref="U19:W19"/>
    <mergeCell ref="Y19:AB19"/>
  </mergeCell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Blad30"/>
  <dimension ref="A1:AY56"/>
  <sheetViews>
    <sheetView workbookViewId="0" topLeftCell="A1">
      <pane xSplit="1" ySplit="5" topLeftCell="B20" activePane="bottomRight" state="frozen"/>
      <selection pane="topLeft" activeCell="F51" sqref="F51"/>
      <selection pane="topRight" activeCell="F51" sqref="F51"/>
      <selection pane="bottomLeft" activeCell="F51" sqref="F51"/>
      <selection pane="bottomRight" activeCell="F51" sqref="F51"/>
    </sheetView>
  </sheetViews>
  <sheetFormatPr defaultColWidth="9.00390625" defaultRowHeight="11.25"/>
  <cols>
    <col min="1" max="1" width="10.75390625" style="137" customWidth="1"/>
    <col min="2" max="21" width="8.00390625" style="137" customWidth="1"/>
    <col min="22" max="22" width="8.00390625" style="213" customWidth="1"/>
    <col min="23" max="51" width="9.00390625" style="83" customWidth="1"/>
    <col min="52" max="16384" width="8.00390625" style="137" customWidth="1"/>
  </cols>
  <sheetData>
    <row r="1" spans="22:51" s="128" customFormat="1" ht="11.25">
      <c r="V1" s="208"/>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row>
    <row r="2" spans="2:51" s="128" customFormat="1" ht="12.75">
      <c r="B2" s="129" t="s">
        <v>127</v>
      </c>
      <c r="V2" s="208"/>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row>
    <row r="3" spans="2:51" s="128" customFormat="1" ht="11.25">
      <c r="B3" s="130" t="s">
        <v>55</v>
      </c>
      <c r="C3" s="130">
        <v>2010</v>
      </c>
      <c r="V3" s="208"/>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row>
    <row r="4" spans="1:51" s="128" customFormat="1" ht="11.25">
      <c r="A4" s="128" t="s">
        <v>206</v>
      </c>
      <c r="B4" s="128">
        <v>2</v>
      </c>
      <c r="C4" s="128">
        <v>3</v>
      </c>
      <c r="D4" s="128">
        <v>4</v>
      </c>
      <c r="E4" s="128">
        <v>5</v>
      </c>
      <c r="F4" s="128">
        <v>6</v>
      </c>
      <c r="G4" s="128">
        <v>7</v>
      </c>
      <c r="H4" s="128">
        <v>8</v>
      </c>
      <c r="I4" s="128">
        <v>9</v>
      </c>
      <c r="J4" s="128">
        <v>10</v>
      </c>
      <c r="V4" s="208"/>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row>
    <row r="5" spans="1:51" s="128" customFormat="1" ht="39.75" customHeight="1">
      <c r="A5" s="131" t="s">
        <v>56</v>
      </c>
      <c r="B5" s="132">
        <v>2010</v>
      </c>
      <c r="C5" s="132">
        <v>2011</v>
      </c>
      <c r="D5" s="132">
        <v>2012</v>
      </c>
      <c r="E5" s="132">
        <v>2013</v>
      </c>
      <c r="F5" s="132">
        <v>2014</v>
      </c>
      <c r="G5" s="132">
        <v>2015</v>
      </c>
      <c r="H5" s="132">
        <v>2016</v>
      </c>
      <c r="I5" s="132">
        <v>2017</v>
      </c>
      <c r="J5" s="132">
        <v>2018</v>
      </c>
      <c r="K5" s="132">
        <v>2019</v>
      </c>
      <c r="L5" s="132">
        <v>2020</v>
      </c>
      <c r="M5" s="132">
        <v>2021</v>
      </c>
      <c r="N5" s="132">
        <v>2022</v>
      </c>
      <c r="O5" s="132">
        <v>2023</v>
      </c>
      <c r="P5" s="132">
        <v>2024</v>
      </c>
      <c r="Q5" s="132">
        <v>2025</v>
      </c>
      <c r="R5" s="132">
        <v>2026</v>
      </c>
      <c r="S5" s="132">
        <v>2027</v>
      </c>
      <c r="T5" s="132">
        <v>2028</v>
      </c>
      <c r="U5" s="132">
        <v>2029</v>
      </c>
      <c r="V5" s="209">
        <v>2030</v>
      </c>
      <c r="W5" s="78">
        <v>2031</v>
      </c>
      <c r="X5" s="78">
        <v>2032</v>
      </c>
      <c r="Y5" s="78">
        <v>2033</v>
      </c>
      <c r="Z5" s="78">
        <v>2034</v>
      </c>
      <c r="AA5" s="78">
        <v>2035</v>
      </c>
      <c r="AB5" s="78">
        <v>2036</v>
      </c>
      <c r="AC5" s="78">
        <v>2037</v>
      </c>
      <c r="AD5" s="78">
        <v>2038</v>
      </c>
      <c r="AE5" s="78">
        <v>2039</v>
      </c>
      <c r="AF5" s="78">
        <v>2040</v>
      </c>
      <c r="AG5" s="78">
        <v>2041</v>
      </c>
      <c r="AH5" s="78">
        <v>2042</v>
      </c>
      <c r="AI5" s="78">
        <v>2043</v>
      </c>
      <c r="AJ5" s="78">
        <v>2044</v>
      </c>
      <c r="AK5" s="78">
        <v>2045</v>
      </c>
      <c r="AL5" s="78">
        <v>2046</v>
      </c>
      <c r="AM5" s="78">
        <v>2047</v>
      </c>
      <c r="AN5" s="78">
        <v>2048</v>
      </c>
      <c r="AO5" s="78">
        <v>2049</v>
      </c>
      <c r="AP5" s="78">
        <v>2050</v>
      </c>
      <c r="AQ5" s="78">
        <v>2051</v>
      </c>
      <c r="AR5" s="78">
        <v>2052</v>
      </c>
      <c r="AS5" s="78">
        <v>2053</v>
      </c>
      <c r="AT5" s="78">
        <v>2054</v>
      </c>
      <c r="AU5" s="78">
        <v>2055</v>
      </c>
      <c r="AV5" s="78">
        <v>2056</v>
      </c>
      <c r="AW5" s="78">
        <v>2057</v>
      </c>
      <c r="AX5" s="78">
        <v>2058</v>
      </c>
      <c r="AY5" s="78">
        <v>2059</v>
      </c>
    </row>
    <row r="6" spans="1:51" ht="11.25">
      <c r="A6" s="133">
        <v>15</v>
      </c>
      <c r="B6" s="134">
        <v>20</v>
      </c>
      <c r="C6" s="135">
        <v>30</v>
      </c>
      <c r="D6" s="136">
        <v>35</v>
      </c>
      <c r="E6" s="135">
        <v>35</v>
      </c>
      <c r="F6" s="136">
        <v>35</v>
      </c>
      <c r="G6" s="135">
        <v>35</v>
      </c>
      <c r="H6" s="136">
        <v>35</v>
      </c>
      <c r="I6" s="135">
        <v>35</v>
      </c>
      <c r="J6" s="136">
        <v>35</v>
      </c>
      <c r="K6" s="135">
        <v>35</v>
      </c>
      <c r="L6" s="136">
        <v>35</v>
      </c>
      <c r="M6" s="135">
        <v>35</v>
      </c>
      <c r="N6" s="136">
        <v>35</v>
      </c>
      <c r="O6" s="135">
        <v>35</v>
      </c>
      <c r="P6" s="136">
        <v>35</v>
      </c>
      <c r="Q6" s="135">
        <v>35</v>
      </c>
      <c r="R6" s="136">
        <v>35</v>
      </c>
      <c r="S6" s="135">
        <v>35</v>
      </c>
      <c r="T6" s="136">
        <v>35</v>
      </c>
      <c r="U6" s="135">
        <v>35</v>
      </c>
      <c r="V6" s="210">
        <v>35</v>
      </c>
      <c r="W6" s="199">
        <v>35</v>
      </c>
      <c r="X6" s="82">
        <v>35</v>
      </c>
      <c r="Y6" s="81">
        <v>35</v>
      </c>
      <c r="Z6" s="82">
        <v>35</v>
      </c>
      <c r="AA6" s="81">
        <v>35</v>
      </c>
      <c r="AB6" s="82">
        <v>35</v>
      </c>
      <c r="AC6" s="81">
        <v>35</v>
      </c>
      <c r="AD6" s="82">
        <v>35</v>
      </c>
      <c r="AE6" s="81">
        <v>35</v>
      </c>
      <c r="AF6" s="82">
        <v>35</v>
      </c>
      <c r="AG6" s="81">
        <v>35</v>
      </c>
      <c r="AH6" s="82">
        <v>35</v>
      </c>
      <c r="AI6" s="81">
        <v>35</v>
      </c>
      <c r="AJ6" s="82">
        <v>35</v>
      </c>
      <c r="AK6" s="81">
        <v>35</v>
      </c>
      <c r="AL6" s="82">
        <v>35</v>
      </c>
      <c r="AM6" s="81">
        <v>35</v>
      </c>
      <c r="AN6" s="82">
        <v>35</v>
      </c>
      <c r="AO6" s="81">
        <v>35</v>
      </c>
      <c r="AP6" s="82">
        <v>35</v>
      </c>
      <c r="AQ6" s="81">
        <v>35</v>
      </c>
      <c r="AR6" s="82">
        <v>35</v>
      </c>
      <c r="AS6" s="81">
        <v>35</v>
      </c>
      <c r="AT6" s="82">
        <v>35</v>
      </c>
      <c r="AU6" s="81">
        <v>35</v>
      </c>
      <c r="AV6" s="82">
        <v>35</v>
      </c>
      <c r="AW6" s="81">
        <v>35</v>
      </c>
      <c r="AX6" s="82">
        <v>35</v>
      </c>
      <c r="AY6" s="81">
        <v>17.5</v>
      </c>
    </row>
    <row r="7" spans="1:51" ht="11.25">
      <c r="A7" s="138">
        <v>16</v>
      </c>
      <c r="B7" s="139">
        <v>20</v>
      </c>
      <c r="C7" s="140">
        <v>30</v>
      </c>
      <c r="D7" s="141">
        <v>35</v>
      </c>
      <c r="E7" s="140">
        <v>35</v>
      </c>
      <c r="F7" s="141">
        <v>35</v>
      </c>
      <c r="G7" s="140">
        <v>35</v>
      </c>
      <c r="H7" s="141">
        <v>35</v>
      </c>
      <c r="I7" s="140">
        <v>35</v>
      </c>
      <c r="J7" s="141">
        <v>35</v>
      </c>
      <c r="K7" s="140">
        <v>35</v>
      </c>
      <c r="L7" s="141">
        <v>35</v>
      </c>
      <c r="M7" s="140">
        <v>35</v>
      </c>
      <c r="N7" s="141">
        <v>35</v>
      </c>
      <c r="O7" s="140">
        <v>35</v>
      </c>
      <c r="P7" s="141">
        <v>35</v>
      </c>
      <c r="Q7" s="140">
        <v>35</v>
      </c>
      <c r="R7" s="141">
        <v>35</v>
      </c>
      <c r="S7" s="140">
        <v>35</v>
      </c>
      <c r="T7" s="141">
        <v>35</v>
      </c>
      <c r="U7" s="140">
        <v>35</v>
      </c>
      <c r="V7" s="211">
        <v>35</v>
      </c>
      <c r="W7" s="200">
        <v>35</v>
      </c>
      <c r="X7" s="87">
        <v>35</v>
      </c>
      <c r="Y7" s="86">
        <v>35</v>
      </c>
      <c r="Z7" s="87">
        <v>35</v>
      </c>
      <c r="AA7" s="86">
        <v>35</v>
      </c>
      <c r="AB7" s="87">
        <v>35</v>
      </c>
      <c r="AC7" s="86">
        <v>35</v>
      </c>
      <c r="AD7" s="87">
        <v>35</v>
      </c>
      <c r="AE7" s="86">
        <v>35</v>
      </c>
      <c r="AF7" s="87">
        <v>35</v>
      </c>
      <c r="AG7" s="86">
        <v>35</v>
      </c>
      <c r="AH7" s="87">
        <v>35</v>
      </c>
      <c r="AI7" s="86">
        <v>35</v>
      </c>
      <c r="AJ7" s="87">
        <v>35</v>
      </c>
      <c r="AK7" s="86">
        <v>35</v>
      </c>
      <c r="AL7" s="87">
        <v>35</v>
      </c>
      <c r="AM7" s="86">
        <v>35</v>
      </c>
      <c r="AN7" s="87">
        <v>35</v>
      </c>
      <c r="AO7" s="86">
        <v>35</v>
      </c>
      <c r="AP7" s="87">
        <v>35</v>
      </c>
      <c r="AQ7" s="86">
        <v>35</v>
      </c>
      <c r="AR7" s="87">
        <v>35</v>
      </c>
      <c r="AS7" s="86">
        <v>35</v>
      </c>
      <c r="AT7" s="87">
        <v>35</v>
      </c>
      <c r="AU7" s="86">
        <v>35</v>
      </c>
      <c r="AV7" s="87">
        <v>35</v>
      </c>
      <c r="AW7" s="86">
        <v>35</v>
      </c>
      <c r="AX7" s="87">
        <v>17.5</v>
      </c>
      <c r="AY7" s="86"/>
    </row>
    <row r="8" spans="1:51" ht="11.25">
      <c r="A8" s="138">
        <v>17</v>
      </c>
      <c r="B8" s="139">
        <v>20</v>
      </c>
      <c r="C8" s="140">
        <v>30</v>
      </c>
      <c r="D8" s="141">
        <v>35</v>
      </c>
      <c r="E8" s="140">
        <v>35</v>
      </c>
      <c r="F8" s="141">
        <v>35</v>
      </c>
      <c r="G8" s="140">
        <v>35</v>
      </c>
      <c r="H8" s="141">
        <v>35</v>
      </c>
      <c r="I8" s="140">
        <v>35</v>
      </c>
      <c r="J8" s="141">
        <v>35</v>
      </c>
      <c r="K8" s="140">
        <v>35</v>
      </c>
      <c r="L8" s="141">
        <v>35</v>
      </c>
      <c r="M8" s="140">
        <v>35</v>
      </c>
      <c r="N8" s="141">
        <v>35</v>
      </c>
      <c r="O8" s="140">
        <v>35</v>
      </c>
      <c r="P8" s="141">
        <v>35</v>
      </c>
      <c r="Q8" s="140">
        <v>35</v>
      </c>
      <c r="R8" s="141">
        <v>35</v>
      </c>
      <c r="S8" s="140">
        <v>35</v>
      </c>
      <c r="T8" s="141">
        <v>35</v>
      </c>
      <c r="U8" s="140">
        <v>35</v>
      </c>
      <c r="V8" s="211">
        <v>35</v>
      </c>
      <c r="W8" s="200">
        <v>35</v>
      </c>
      <c r="X8" s="87">
        <v>35</v>
      </c>
      <c r="Y8" s="86">
        <v>35</v>
      </c>
      <c r="Z8" s="87">
        <v>35</v>
      </c>
      <c r="AA8" s="86">
        <v>35</v>
      </c>
      <c r="AB8" s="87">
        <v>35</v>
      </c>
      <c r="AC8" s="86">
        <v>35</v>
      </c>
      <c r="AD8" s="87">
        <v>35</v>
      </c>
      <c r="AE8" s="86">
        <v>35</v>
      </c>
      <c r="AF8" s="87">
        <v>35</v>
      </c>
      <c r="AG8" s="86">
        <v>35</v>
      </c>
      <c r="AH8" s="87">
        <v>35</v>
      </c>
      <c r="AI8" s="86">
        <v>35</v>
      </c>
      <c r="AJ8" s="87">
        <v>35</v>
      </c>
      <c r="AK8" s="86">
        <v>35</v>
      </c>
      <c r="AL8" s="87">
        <v>35</v>
      </c>
      <c r="AM8" s="86">
        <v>35</v>
      </c>
      <c r="AN8" s="87">
        <v>35</v>
      </c>
      <c r="AO8" s="86">
        <v>35</v>
      </c>
      <c r="AP8" s="87">
        <v>35</v>
      </c>
      <c r="AQ8" s="86">
        <v>35</v>
      </c>
      <c r="AR8" s="87">
        <v>35</v>
      </c>
      <c r="AS8" s="86">
        <v>35</v>
      </c>
      <c r="AT8" s="87">
        <v>35</v>
      </c>
      <c r="AU8" s="86">
        <v>35</v>
      </c>
      <c r="AV8" s="87">
        <v>35</v>
      </c>
      <c r="AW8" s="86">
        <v>17.5</v>
      </c>
      <c r="AX8" s="87"/>
      <c r="AY8" s="86"/>
    </row>
    <row r="9" spans="1:51" ht="11.25">
      <c r="A9" s="138">
        <v>18</v>
      </c>
      <c r="B9" s="139">
        <v>20</v>
      </c>
      <c r="C9" s="140">
        <v>30</v>
      </c>
      <c r="D9" s="141">
        <v>35</v>
      </c>
      <c r="E9" s="140">
        <v>35</v>
      </c>
      <c r="F9" s="141">
        <v>35</v>
      </c>
      <c r="G9" s="140">
        <v>35</v>
      </c>
      <c r="H9" s="141">
        <v>35</v>
      </c>
      <c r="I9" s="140">
        <v>35</v>
      </c>
      <c r="J9" s="141">
        <v>35</v>
      </c>
      <c r="K9" s="140">
        <v>35</v>
      </c>
      <c r="L9" s="141">
        <v>35</v>
      </c>
      <c r="M9" s="140">
        <v>35</v>
      </c>
      <c r="N9" s="141">
        <v>35</v>
      </c>
      <c r="O9" s="140">
        <v>35</v>
      </c>
      <c r="P9" s="141">
        <v>35</v>
      </c>
      <c r="Q9" s="140">
        <v>35</v>
      </c>
      <c r="R9" s="141">
        <v>35</v>
      </c>
      <c r="S9" s="140">
        <v>35</v>
      </c>
      <c r="T9" s="141">
        <v>35</v>
      </c>
      <c r="U9" s="140">
        <v>35</v>
      </c>
      <c r="V9" s="211">
        <v>35</v>
      </c>
      <c r="W9" s="200">
        <v>35</v>
      </c>
      <c r="X9" s="87">
        <v>35</v>
      </c>
      <c r="Y9" s="86">
        <v>35</v>
      </c>
      <c r="Z9" s="87">
        <v>35</v>
      </c>
      <c r="AA9" s="86">
        <v>35</v>
      </c>
      <c r="AB9" s="87">
        <v>35</v>
      </c>
      <c r="AC9" s="86">
        <v>35</v>
      </c>
      <c r="AD9" s="87">
        <v>35</v>
      </c>
      <c r="AE9" s="86">
        <v>35</v>
      </c>
      <c r="AF9" s="87">
        <v>35</v>
      </c>
      <c r="AG9" s="86">
        <v>35</v>
      </c>
      <c r="AH9" s="87">
        <v>35</v>
      </c>
      <c r="AI9" s="86">
        <v>35</v>
      </c>
      <c r="AJ9" s="87">
        <v>35</v>
      </c>
      <c r="AK9" s="86">
        <v>35</v>
      </c>
      <c r="AL9" s="87">
        <v>35</v>
      </c>
      <c r="AM9" s="86">
        <v>35</v>
      </c>
      <c r="AN9" s="87">
        <v>35</v>
      </c>
      <c r="AO9" s="86">
        <v>35</v>
      </c>
      <c r="AP9" s="87">
        <v>35</v>
      </c>
      <c r="AQ9" s="86">
        <v>35</v>
      </c>
      <c r="AR9" s="87">
        <v>35</v>
      </c>
      <c r="AS9" s="86">
        <v>35</v>
      </c>
      <c r="AT9" s="87">
        <v>35</v>
      </c>
      <c r="AU9" s="86">
        <v>35</v>
      </c>
      <c r="AV9" s="87">
        <v>17.5</v>
      </c>
      <c r="AW9" s="86"/>
      <c r="AX9" s="87"/>
      <c r="AY9" s="86"/>
    </row>
    <row r="10" spans="1:51" ht="11.25">
      <c r="A10" s="138">
        <v>19</v>
      </c>
      <c r="B10" s="139">
        <v>20</v>
      </c>
      <c r="C10" s="140">
        <v>30</v>
      </c>
      <c r="D10" s="141">
        <v>35</v>
      </c>
      <c r="E10" s="140">
        <v>35</v>
      </c>
      <c r="F10" s="141">
        <v>35</v>
      </c>
      <c r="G10" s="140">
        <v>35</v>
      </c>
      <c r="H10" s="141">
        <v>35</v>
      </c>
      <c r="I10" s="140">
        <v>35</v>
      </c>
      <c r="J10" s="141">
        <v>35</v>
      </c>
      <c r="K10" s="140">
        <v>35</v>
      </c>
      <c r="L10" s="141">
        <v>35</v>
      </c>
      <c r="M10" s="140">
        <v>35</v>
      </c>
      <c r="N10" s="141">
        <v>35</v>
      </c>
      <c r="O10" s="140">
        <v>35</v>
      </c>
      <c r="P10" s="141">
        <v>35</v>
      </c>
      <c r="Q10" s="140">
        <v>35</v>
      </c>
      <c r="R10" s="141">
        <v>35</v>
      </c>
      <c r="S10" s="140">
        <v>35</v>
      </c>
      <c r="T10" s="141">
        <v>35</v>
      </c>
      <c r="U10" s="140">
        <v>35</v>
      </c>
      <c r="V10" s="211">
        <v>35</v>
      </c>
      <c r="W10" s="200">
        <v>35</v>
      </c>
      <c r="X10" s="87">
        <v>35</v>
      </c>
      <c r="Y10" s="86">
        <v>35</v>
      </c>
      <c r="Z10" s="87">
        <v>35</v>
      </c>
      <c r="AA10" s="86">
        <v>35</v>
      </c>
      <c r="AB10" s="87">
        <v>35</v>
      </c>
      <c r="AC10" s="86">
        <v>35</v>
      </c>
      <c r="AD10" s="87">
        <v>35</v>
      </c>
      <c r="AE10" s="86">
        <v>35</v>
      </c>
      <c r="AF10" s="87">
        <v>35</v>
      </c>
      <c r="AG10" s="86">
        <v>35</v>
      </c>
      <c r="AH10" s="87">
        <v>35</v>
      </c>
      <c r="AI10" s="86">
        <v>35</v>
      </c>
      <c r="AJ10" s="87">
        <v>35</v>
      </c>
      <c r="AK10" s="86">
        <v>35</v>
      </c>
      <c r="AL10" s="87">
        <v>35</v>
      </c>
      <c r="AM10" s="86">
        <v>35</v>
      </c>
      <c r="AN10" s="87">
        <v>35</v>
      </c>
      <c r="AO10" s="86">
        <v>35</v>
      </c>
      <c r="AP10" s="87">
        <v>35</v>
      </c>
      <c r="AQ10" s="86">
        <v>35</v>
      </c>
      <c r="AR10" s="87">
        <v>35</v>
      </c>
      <c r="AS10" s="86">
        <v>35</v>
      </c>
      <c r="AT10" s="87">
        <v>35</v>
      </c>
      <c r="AU10" s="86">
        <v>17.5</v>
      </c>
      <c r="AV10" s="87"/>
      <c r="AW10" s="86"/>
      <c r="AX10" s="87"/>
      <c r="AY10" s="86"/>
    </row>
    <row r="11" spans="1:51" ht="11.25">
      <c r="A11" s="138">
        <v>20</v>
      </c>
      <c r="B11" s="139">
        <v>20</v>
      </c>
      <c r="C11" s="140">
        <v>30</v>
      </c>
      <c r="D11" s="141">
        <v>35</v>
      </c>
      <c r="E11" s="140">
        <v>35</v>
      </c>
      <c r="F11" s="141">
        <v>35</v>
      </c>
      <c r="G11" s="140">
        <v>35</v>
      </c>
      <c r="H11" s="141">
        <v>35</v>
      </c>
      <c r="I11" s="140">
        <v>35</v>
      </c>
      <c r="J11" s="141">
        <v>35</v>
      </c>
      <c r="K11" s="140">
        <v>35</v>
      </c>
      <c r="L11" s="141">
        <v>35</v>
      </c>
      <c r="M11" s="140">
        <v>35</v>
      </c>
      <c r="N11" s="141">
        <v>35</v>
      </c>
      <c r="O11" s="140">
        <v>35</v>
      </c>
      <c r="P11" s="141">
        <v>35</v>
      </c>
      <c r="Q11" s="140">
        <v>35</v>
      </c>
      <c r="R11" s="141">
        <v>35</v>
      </c>
      <c r="S11" s="140">
        <v>35</v>
      </c>
      <c r="T11" s="141">
        <v>35</v>
      </c>
      <c r="U11" s="140">
        <v>35</v>
      </c>
      <c r="V11" s="211">
        <v>35</v>
      </c>
      <c r="W11" s="200">
        <v>35</v>
      </c>
      <c r="X11" s="87">
        <v>35</v>
      </c>
      <c r="Y11" s="86">
        <v>35</v>
      </c>
      <c r="Z11" s="87">
        <v>35</v>
      </c>
      <c r="AA11" s="86">
        <v>35</v>
      </c>
      <c r="AB11" s="87">
        <v>35</v>
      </c>
      <c r="AC11" s="86">
        <v>35</v>
      </c>
      <c r="AD11" s="87">
        <v>35</v>
      </c>
      <c r="AE11" s="86">
        <v>35</v>
      </c>
      <c r="AF11" s="87">
        <v>35</v>
      </c>
      <c r="AG11" s="86">
        <v>35</v>
      </c>
      <c r="AH11" s="87">
        <v>35</v>
      </c>
      <c r="AI11" s="86">
        <v>35</v>
      </c>
      <c r="AJ11" s="87">
        <v>35</v>
      </c>
      <c r="AK11" s="86">
        <v>35</v>
      </c>
      <c r="AL11" s="87">
        <v>35</v>
      </c>
      <c r="AM11" s="86">
        <v>35</v>
      </c>
      <c r="AN11" s="87">
        <v>35</v>
      </c>
      <c r="AO11" s="86">
        <v>35</v>
      </c>
      <c r="AP11" s="87">
        <v>35</v>
      </c>
      <c r="AQ11" s="86">
        <v>35</v>
      </c>
      <c r="AR11" s="87">
        <v>35</v>
      </c>
      <c r="AS11" s="86">
        <v>35</v>
      </c>
      <c r="AT11" s="87">
        <v>17.5</v>
      </c>
      <c r="AU11" s="86"/>
      <c r="AV11" s="87"/>
      <c r="AW11" s="86"/>
      <c r="AX11" s="87"/>
      <c r="AY11" s="86"/>
    </row>
    <row r="12" spans="1:51" ht="11.25">
      <c r="A12" s="138">
        <v>21</v>
      </c>
      <c r="B12" s="139">
        <v>20</v>
      </c>
      <c r="C12" s="140">
        <v>30</v>
      </c>
      <c r="D12" s="141">
        <v>35</v>
      </c>
      <c r="E12" s="140">
        <v>35</v>
      </c>
      <c r="F12" s="141">
        <v>35</v>
      </c>
      <c r="G12" s="140">
        <v>35</v>
      </c>
      <c r="H12" s="141">
        <v>35</v>
      </c>
      <c r="I12" s="140">
        <v>35</v>
      </c>
      <c r="J12" s="141">
        <v>35</v>
      </c>
      <c r="K12" s="140">
        <v>35</v>
      </c>
      <c r="L12" s="141">
        <v>35</v>
      </c>
      <c r="M12" s="140">
        <v>35</v>
      </c>
      <c r="N12" s="141">
        <v>35</v>
      </c>
      <c r="O12" s="140">
        <v>35</v>
      </c>
      <c r="P12" s="141">
        <v>35</v>
      </c>
      <c r="Q12" s="140">
        <v>35</v>
      </c>
      <c r="R12" s="141">
        <v>35</v>
      </c>
      <c r="S12" s="140">
        <v>35</v>
      </c>
      <c r="T12" s="141">
        <v>35</v>
      </c>
      <c r="U12" s="140">
        <v>35</v>
      </c>
      <c r="V12" s="211">
        <v>35</v>
      </c>
      <c r="W12" s="200">
        <v>35</v>
      </c>
      <c r="X12" s="87">
        <v>35</v>
      </c>
      <c r="Y12" s="86">
        <v>35</v>
      </c>
      <c r="Z12" s="87">
        <v>35</v>
      </c>
      <c r="AA12" s="86">
        <v>35</v>
      </c>
      <c r="AB12" s="87">
        <v>35</v>
      </c>
      <c r="AC12" s="86">
        <v>35</v>
      </c>
      <c r="AD12" s="87">
        <v>35</v>
      </c>
      <c r="AE12" s="86">
        <v>35</v>
      </c>
      <c r="AF12" s="87">
        <v>35</v>
      </c>
      <c r="AG12" s="86">
        <v>35</v>
      </c>
      <c r="AH12" s="87">
        <v>35</v>
      </c>
      <c r="AI12" s="86">
        <v>35</v>
      </c>
      <c r="AJ12" s="87">
        <v>35</v>
      </c>
      <c r="AK12" s="86">
        <v>35</v>
      </c>
      <c r="AL12" s="87">
        <v>35</v>
      </c>
      <c r="AM12" s="86">
        <v>35</v>
      </c>
      <c r="AN12" s="87">
        <v>35</v>
      </c>
      <c r="AO12" s="86">
        <v>35</v>
      </c>
      <c r="AP12" s="87">
        <v>35</v>
      </c>
      <c r="AQ12" s="86">
        <v>35</v>
      </c>
      <c r="AR12" s="87">
        <v>35</v>
      </c>
      <c r="AS12" s="86">
        <v>17.5</v>
      </c>
      <c r="AT12" s="87"/>
      <c r="AU12" s="86"/>
      <c r="AV12" s="87"/>
      <c r="AW12" s="86"/>
      <c r="AX12" s="87"/>
      <c r="AY12" s="86"/>
    </row>
    <row r="13" spans="1:51" ht="11.25">
      <c r="A13" s="138">
        <v>22</v>
      </c>
      <c r="B13" s="139">
        <v>20</v>
      </c>
      <c r="C13" s="140">
        <v>30</v>
      </c>
      <c r="D13" s="141">
        <v>35</v>
      </c>
      <c r="E13" s="140">
        <v>35</v>
      </c>
      <c r="F13" s="141">
        <v>35</v>
      </c>
      <c r="G13" s="140">
        <v>35</v>
      </c>
      <c r="H13" s="141">
        <v>35</v>
      </c>
      <c r="I13" s="140">
        <v>35</v>
      </c>
      <c r="J13" s="141">
        <v>35</v>
      </c>
      <c r="K13" s="140">
        <v>35</v>
      </c>
      <c r="L13" s="141">
        <v>35</v>
      </c>
      <c r="M13" s="140">
        <v>35</v>
      </c>
      <c r="N13" s="141">
        <v>35</v>
      </c>
      <c r="O13" s="140">
        <v>35</v>
      </c>
      <c r="P13" s="141">
        <v>35</v>
      </c>
      <c r="Q13" s="140">
        <v>35</v>
      </c>
      <c r="R13" s="141">
        <v>35</v>
      </c>
      <c r="S13" s="140">
        <v>35</v>
      </c>
      <c r="T13" s="141">
        <v>35</v>
      </c>
      <c r="U13" s="140">
        <v>35</v>
      </c>
      <c r="V13" s="211">
        <v>35</v>
      </c>
      <c r="W13" s="200">
        <v>35</v>
      </c>
      <c r="X13" s="87">
        <v>35</v>
      </c>
      <c r="Y13" s="86">
        <v>35</v>
      </c>
      <c r="Z13" s="87">
        <v>35</v>
      </c>
      <c r="AA13" s="86">
        <v>35</v>
      </c>
      <c r="AB13" s="87">
        <v>35</v>
      </c>
      <c r="AC13" s="86">
        <v>35</v>
      </c>
      <c r="AD13" s="87">
        <v>35</v>
      </c>
      <c r="AE13" s="86">
        <v>35</v>
      </c>
      <c r="AF13" s="87">
        <v>35</v>
      </c>
      <c r="AG13" s="86">
        <v>35</v>
      </c>
      <c r="AH13" s="87">
        <v>35</v>
      </c>
      <c r="AI13" s="86">
        <v>35</v>
      </c>
      <c r="AJ13" s="87">
        <v>35</v>
      </c>
      <c r="AK13" s="86">
        <v>35</v>
      </c>
      <c r="AL13" s="87">
        <v>35</v>
      </c>
      <c r="AM13" s="86">
        <v>35</v>
      </c>
      <c r="AN13" s="87">
        <v>35</v>
      </c>
      <c r="AO13" s="86">
        <v>35</v>
      </c>
      <c r="AP13" s="87">
        <v>35</v>
      </c>
      <c r="AQ13" s="86">
        <v>35</v>
      </c>
      <c r="AR13" s="87">
        <v>17.5</v>
      </c>
      <c r="AS13" s="86"/>
      <c r="AT13" s="87"/>
      <c r="AU13" s="86"/>
      <c r="AV13" s="87"/>
      <c r="AW13" s="86"/>
      <c r="AX13" s="87"/>
      <c r="AY13" s="86"/>
    </row>
    <row r="14" spans="1:51" ht="11.25">
      <c r="A14" s="138">
        <v>23</v>
      </c>
      <c r="B14" s="139">
        <v>20</v>
      </c>
      <c r="C14" s="140">
        <v>30</v>
      </c>
      <c r="D14" s="141">
        <v>35</v>
      </c>
      <c r="E14" s="140">
        <v>35</v>
      </c>
      <c r="F14" s="141">
        <v>35</v>
      </c>
      <c r="G14" s="140">
        <v>35</v>
      </c>
      <c r="H14" s="141">
        <v>35</v>
      </c>
      <c r="I14" s="140">
        <v>35</v>
      </c>
      <c r="J14" s="141">
        <v>35</v>
      </c>
      <c r="K14" s="140">
        <v>35</v>
      </c>
      <c r="L14" s="141">
        <v>35</v>
      </c>
      <c r="M14" s="140">
        <v>35</v>
      </c>
      <c r="N14" s="141">
        <v>35</v>
      </c>
      <c r="O14" s="140">
        <v>35</v>
      </c>
      <c r="P14" s="141">
        <v>35</v>
      </c>
      <c r="Q14" s="140">
        <v>35</v>
      </c>
      <c r="R14" s="141">
        <v>35</v>
      </c>
      <c r="S14" s="140">
        <v>35</v>
      </c>
      <c r="T14" s="141">
        <v>35</v>
      </c>
      <c r="U14" s="140">
        <v>35</v>
      </c>
      <c r="V14" s="211">
        <v>35</v>
      </c>
      <c r="W14" s="200">
        <v>35</v>
      </c>
      <c r="X14" s="87">
        <v>35</v>
      </c>
      <c r="Y14" s="86">
        <v>35</v>
      </c>
      <c r="Z14" s="87">
        <v>35</v>
      </c>
      <c r="AA14" s="86">
        <v>35</v>
      </c>
      <c r="AB14" s="87">
        <v>35</v>
      </c>
      <c r="AC14" s="86">
        <v>35</v>
      </c>
      <c r="AD14" s="87">
        <v>35</v>
      </c>
      <c r="AE14" s="86">
        <v>35</v>
      </c>
      <c r="AF14" s="87">
        <v>35</v>
      </c>
      <c r="AG14" s="86">
        <v>35</v>
      </c>
      <c r="AH14" s="87">
        <v>35</v>
      </c>
      <c r="AI14" s="86">
        <v>35</v>
      </c>
      <c r="AJ14" s="87">
        <v>35</v>
      </c>
      <c r="AK14" s="86">
        <v>35</v>
      </c>
      <c r="AL14" s="87">
        <v>35</v>
      </c>
      <c r="AM14" s="86">
        <v>35</v>
      </c>
      <c r="AN14" s="87">
        <v>35</v>
      </c>
      <c r="AO14" s="86">
        <v>35</v>
      </c>
      <c r="AP14" s="87">
        <v>35</v>
      </c>
      <c r="AQ14" s="86">
        <v>17.5</v>
      </c>
      <c r="AR14" s="87"/>
      <c r="AS14" s="86"/>
      <c r="AT14" s="87"/>
      <c r="AU14" s="86"/>
      <c r="AV14" s="87"/>
      <c r="AW14" s="86"/>
      <c r="AX14" s="87"/>
      <c r="AY14" s="86"/>
    </row>
    <row r="15" spans="1:51" ht="11.25">
      <c r="A15" s="138">
        <v>24</v>
      </c>
      <c r="B15" s="139">
        <v>20</v>
      </c>
      <c r="C15" s="140">
        <v>30</v>
      </c>
      <c r="D15" s="141">
        <v>35</v>
      </c>
      <c r="E15" s="140">
        <v>35</v>
      </c>
      <c r="F15" s="141">
        <v>35</v>
      </c>
      <c r="G15" s="140">
        <v>35</v>
      </c>
      <c r="H15" s="141">
        <v>35</v>
      </c>
      <c r="I15" s="140">
        <v>35</v>
      </c>
      <c r="J15" s="141">
        <v>35</v>
      </c>
      <c r="K15" s="140">
        <v>35</v>
      </c>
      <c r="L15" s="141">
        <v>35</v>
      </c>
      <c r="M15" s="140">
        <v>35</v>
      </c>
      <c r="N15" s="141">
        <v>35</v>
      </c>
      <c r="O15" s="140">
        <v>35</v>
      </c>
      <c r="P15" s="141">
        <v>35</v>
      </c>
      <c r="Q15" s="140">
        <v>35</v>
      </c>
      <c r="R15" s="141">
        <v>35</v>
      </c>
      <c r="S15" s="140">
        <v>35</v>
      </c>
      <c r="T15" s="141">
        <v>35</v>
      </c>
      <c r="U15" s="140">
        <v>35</v>
      </c>
      <c r="V15" s="211">
        <v>35</v>
      </c>
      <c r="W15" s="200">
        <v>35</v>
      </c>
      <c r="X15" s="87">
        <v>35</v>
      </c>
      <c r="Y15" s="86">
        <v>35</v>
      </c>
      <c r="Z15" s="87">
        <v>35</v>
      </c>
      <c r="AA15" s="86">
        <v>35</v>
      </c>
      <c r="AB15" s="87">
        <v>35</v>
      </c>
      <c r="AC15" s="86">
        <v>35</v>
      </c>
      <c r="AD15" s="87">
        <v>35</v>
      </c>
      <c r="AE15" s="86">
        <v>35</v>
      </c>
      <c r="AF15" s="87">
        <v>35</v>
      </c>
      <c r="AG15" s="86">
        <v>35</v>
      </c>
      <c r="AH15" s="87">
        <v>35</v>
      </c>
      <c r="AI15" s="86">
        <v>35</v>
      </c>
      <c r="AJ15" s="87">
        <v>35</v>
      </c>
      <c r="AK15" s="86">
        <v>35</v>
      </c>
      <c r="AL15" s="87">
        <v>35</v>
      </c>
      <c r="AM15" s="86">
        <v>35</v>
      </c>
      <c r="AN15" s="87">
        <v>35</v>
      </c>
      <c r="AO15" s="86">
        <v>35</v>
      </c>
      <c r="AP15" s="87">
        <v>17.5</v>
      </c>
      <c r="AQ15" s="86"/>
      <c r="AR15" s="87"/>
      <c r="AS15" s="86"/>
      <c r="AT15" s="87"/>
      <c r="AU15" s="86"/>
      <c r="AV15" s="87"/>
      <c r="AW15" s="86"/>
      <c r="AX15" s="87"/>
      <c r="AY15" s="86"/>
    </row>
    <row r="16" spans="1:51" ht="11.25">
      <c r="A16" s="138">
        <v>25</v>
      </c>
      <c r="B16" s="139">
        <v>20</v>
      </c>
      <c r="C16" s="140">
        <v>30</v>
      </c>
      <c r="D16" s="141">
        <v>35</v>
      </c>
      <c r="E16" s="140">
        <v>35</v>
      </c>
      <c r="F16" s="141">
        <v>35</v>
      </c>
      <c r="G16" s="140">
        <v>35</v>
      </c>
      <c r="H16" s="141">
        <v>35</v>
      </c>
      <c r="I16" s="140">
        <v>35</v>
      </c>
      <c r="J16" s="141">
        <v>35</v>
      </c>
      <c r="K16" s="140">
        <v>35</v>
      </c>
      <c r="L16" s="141">
        <v>35</v>
      </c>
      <c r="M16" s="140">
        <v>35</v>
      </c>
      <c r="N16" s="141">
        <v>35</v>
      </c>
      <c r="O16" s="140">
        <v>35</v>
      </c>
      <c r="P16" s="141">
        <v>35</v>
      </c>
      <c r="Q16" s="140">
        <v>35</v>
      </c>
      <c r="R16" s="141">
        <v>35</v>
      </c>
      <c r="S16" s="140">
        <v>35</v>
      </c>
      <c r="T16" s="141">
        <v>35</v>
      </c>
      <c r="U16" s="140">
        <v>35</v>
      </c>
      <c r="V16" s="211">
        <v>35</v>
      </c>
      <c r="W16" s="200">
        <v>35</v>
      </c>
      <c r="X16" s="87">
        <v>35</v>
      </c>
      <c r="Y16" s="86">
        <v>35</v>
      </c>
      <c r="Z16" s="87">
        <v>35</v>
      </c>
      <c r="AA16" s="86">
        <v>35</v>
      </c>
      <c r="AB16" s="87">
        <v>35</v>
      </c>
      <c r="AC16" s="86">
        <v>35</v>
      </c>
      <c r="AD16" s="87">
        <v>35</v>
      </c>
      <c r="AE16" s="86">
        <v>35</v>
      </c>
      <c r="AF16" s="87">
        <v>35</v>
      </c>
      <c r="AG16" s="86">
        <v>35</v>
      </c>
      <c r="AH16" s="87">
        <v>35</v>
      </c>
      <c r="AI16" s="86">
        <v>35</v>
      </c>
      <c r="AJ16" s="87">
        <v>35</v>
      </c>
      <c r="AK16" s="86">
        <v>35</v>
      </c>
      <c r="AL16" s="87">
        <v>35</v>
      </c>
      <c r="AM16" s="86">
        <v>35</v>
      </c>
      <c r="AN16" s="87">
        <v>35</v>
      </c>
      <c r="AO16" s="86">
        <v>17.5</v>
      </c>
      <c r="AP16" s="87"/>
      <c r="AQ16" s="86"/>
      <c r="AR16" s="87"/>
      <c r="AS16" s="86"/>
      <c r="AT16" s="87"/>
      <c r="AU16" s="86"/>
      <c r="AV16" s="87"/>
      <c r="AW16" s="86"/>
      <c r="AX16" s="87"/>
      <c r="AY16" s="86"/>
    </row>
    <row r="17" spans="1:51" ht="11.25">
      <c r="A17" s="138">
        <v>26</v>
      </c>
      <c r="B17" s="139">
        <v>20</v>
      </c>
      <c r="C17" s="140">
        <v>30</v>
      </c>
      <c r="D17" s="141">
        <v>35</v>
      </c>
      <c r="E17" s="140">
        <v>35</v>
      </c>
      <c r="F17" s="141">
        <v>35</v>
      </c>
      <c r="G17" s="140">
        <v>35</v>
      </c>
      <c r="H17" s="141">
        <v>35</v>
      </c>
      <c r="I17" s="140">
        <v>35</v>
      </c>
      <c r="J17" s="141">
        <v>35</v>
      </c>
      <c r="K17" s="140">
        <v>35</v>
      </c>
      <c r="L17" s="141">
        <v>35</v>
      </c>
      <c r="M17" s="140">
        <v>35</v>
      </c>
      <c r="N17" s="141">
        <v>35</v>
      </c>
      <c r="O17" s="140">
        <v>35</v>
      </c>
      <c r="P17" s="141">
        <v>35</v>
      </c>
      <c r="Q17" s="140">
        <v>35</v>
      </c>
      <c r="R17" s="141">
        <v>35</v>
      </c>
      <c r="S17" s="140">
        <v>35</v>
      </c>
      <c r="T17" s="141">
        <v>35</v>
      </c>
      <c r="U17" s="140">
        <v>35</v>
      </c>
      <c r="V17" s="211">
        <v>35</v>
      </c>
      <c r="W17" s="200">
        <v>35</v>
      </c>
      <c r="X17" s="87">
        <v>35</v>
      </c>
      <c r="Y17" s="86">
        <v>35</v>
      </c>
      <c r="Z17" s="87">
        <v>35</v>
      </c>
      <c r="AA17" s="86">
        <v>35</v>
      </c>
      <c r="AB17" s="87">
        <v>35</v>
      </c>
      <c r="AC17" s="86">
        <v>35</v>
      </c>
      <c r="AD17" s="87">
        <v>35</v>
      </c>
      <c r="AE17" s="86">
        <v>35</v>
      </c>
      <c r="AF17" s="87">
        <v>35</v>
      </c>
      <c r="AG17" s="86">
        <v>35</v>
      </c>
      <c r="AH17" s="87">
        <v>35</v>
      </c>
      <c r="AI17" s="86">
        <v>35</v>
      </c>
      <c r="AJ17" s="87">
        <v>35</v>
      </c>
      <c r="AK17" s="86">
        <v>35</v>
      </c>
      <c r="AL17" s="87">
        <v>35</v>
      </c>
      <c r="AM17" s="86">
        <v>35</v>
      </c>
      <c r="AN17" s="87">
        <v>17.5</v>
      </c>
      <c r="AO17" s="86"/>
      <c r="AP17" s="87"/>
      <c r="AQ17" s="86"/>
      <c r="AR17" s="87"/>
      <c r="AS17" s="86"/>
      <c r="AT17" s="87"/>
      <c r="AU17" s="86"/>
      <c r="AV17" s="87"/>
      <c r="AW17" s="86"/>
      <c r="AX17" s="87"/>
      <c r="AY17" s="86"/>
    </row>
    <row r="18" spans="1:51" ht="11.25">
      <c r="A18" s="138">
        <v>27</v>
      </c>
      <c r="B18" s="139">
        <v>20</v>
      </c>
      <c r="C18" s="140">
        <v>30</v>
      </c>
      <c r="D18" s="141">
        <v>35</v>
      </c>
      <c r="E18" s="140">
        <v>35</v>
      </c>
      <c r="F18" s="141">
        <v>35</v>
      </c>
      <c r="G18" s="140">
        <v>35</v>
      </c>
      <c r="H18" s="141">
        <v>35</v>
      </c>
      <c r="I18" s="140">
        <v>35</v>
      </c>
      <c r="J18" s="141">
        <v>35</v>
      </c>
      <c r="K18" s="140">
        <v>35</v>
      </c>
      <c r="L18" s="141">
        <v>35</v>
      </c>
      <c r="M18" s="140">
        <v>35</v>
      </c>
      <c r="N18" s="141">
        <v>35</v>
      </c>
      <c r="O18" s="140">
        <v>35</v>
      </c>
      <c r="P18" s="141">
        <v>35</v>
      </c>
      <c r="Q18" s="140">
        <v>35</v>
      </c>
      <c r="R18" s="141">
        <v>35</v>
      </c>
      <c r="S18" s="140">
        <v>35</v>
      </c>
      <c r="T18" s="141">
        <v>35</v>
      </c>
      <c r="U18" s="140">
        <v>35</v>
      </c>
      <c r="V18" s="211">
        <v>35</v>
      </c>
      <c r="W18" s="200">
        <v>35</v>
      </c>
      <c r="X18" s="87">
        <v>35</v>
      </c>
      <c r="Y18" s="86">
        <v>35</v>
      </c>
      <c r="Z18" s="87">
        <v>35</v>
      </c>
      <c r="AA18" s="86">
        <v>35</v>
      </c>
      <c r="AB18" s="87">
        <v>35</v>
      </c>
      <c r="AC18" s="86">
        <v>35</v>
      </c>
      <c r="AD18" s="87">
        <v>35</v>
      </c>
      <c r="AE18" s="86">
        <v>35</v>
      </c>
      <c r="AF18" s="87">
        <v>35</v>
      </c>
      <c r="AG18" s="86">
        <v>35</v>
      </c>
      <c r="AH18" s="87">
        <v>35</v>
      </c>
      <c r="AI18" s="86">
        <v>35</v>
      </c>
      <c r="AJ18" s="87">
        <v>35</v>
      </c>
      <c r="AK18" s="86">
        <v>35</v>
      </c>
      <c r="AL18" s="87">
        <v>35</v>
      </c>
      <c r="AM18" s="86">
        <f>Tabel_basisrecht!AM18+Tabel_overgangsrecht!AM18</f>
        <v>0</v>
      </c>
      <c r="AN18" s="87"/>
      <c r="AO18" s="86"/>
      <c r="AP18" s="87"/>
      <c r="AQ18" s="86"/>
      <c r="AR18" s="87"/>
      <c r="AS18" s="86"/>
      <c r="AT18" s="87"/>
      <c r="AU18" s="86"/>
      <c r="AV18" s="87"/>
      <c r="AW18" s="86"/>
      <c r="AX18" s="87"/>
      <c r="AY18" s="86"/>
    </row>
    <row r="19" spans="1:51" ht="11.25">
      <c r="A19" s="138">
        <v>28</v>
      </c>
      <c r="B19" s="139">
        <v>20</v>
      </c>
      <c r="C19" s="140">
        <v>30</v>
      </c>
      <c r="D19" s="141">
        <v>35</v>
      </c>
      <c r="E19" s="140">
        <v>35</v>
      </c>
      <c r="F19" s="141">
        <v>35</v>
      </c>
      <c r="G19" s="140">
        <v>35</v>
      </c>
      <c r="H19" s="141">
        <v>35</v>
      </c>
      <c r="I19" s="140">
        <v>35</v>
      </c>
      <c r="J19" s="141">
        <v>35</v>
      </c>
      <c r="K19" s="140">
        <v>35</v>
      </c>
      <c r="L19" s="141">
        <v>35</v>
      </c>
      <c r="M19" s="140">
        <v>35</v>
      </c>
      <c r="N19" s="141">
        <v>35</v>
      </c>
      <c r="O19" s="140">
        <v>35</v>
      </c>
      <c r="P19" s="141">
        <v>35</v>
      </c>
      <c r="Q19" s="140">
        <v>35</v>
      </c>
      <c r="R19" s="141">
        <v>35</v>
      </c>
      <c r="S19" s="140">
        <v>35</v>
      </c>
      <c r="T19" s="141">
        <v>35</v>
      </c>
      <c r="U19" s="140">
        <v>35</v>
      </c>
      <c r="V19" s="211">
        <v>35</v>
      </c>
      <c r="W19" s="200">
        <v>35</v>
      </c>
      <c r="X19" s="87">
        <v>35</v>
      </c>
      <c r="Y19" s="86">
        <v>35</v>
      </c>
      <c r="Z19" s="87">
        <v>35</v>
      </c>
      <c r="AA19" s="86">
        <v>35</v>
      </c>
      <c r="AB19" s="87">
        <v>35</v>
      </c>
      <c r="AC19" s="86">
        <v>35</v>
      </c>
      <c r="AD19" s="87">
        <v>35</v>
      </c>
      <c r="AE19" s="86">
        <v>35</v>
      </c>
      <c r="AF19" s="87">
        <v>35</v>
      </c>
      <c r="AG19" s="86">
        <v>35</v>
      </c>
      <c r="AH19" s="87">
        <v>35</v>
      </c>
      <c r="AI19" s="86">
        <v>35</v>
      </c>
      <c r="AJ19" s="87">
        <v>35</v>
      </c>
      <c r="AK19" s="86">
        <v>35</v>
      </c>
      <c r="AL19" s="87">
        <f>Tabel_basisrecht!AL19+Tabel_overgangsrecht!AL19</f>
        <v>0</v>
      </c>
      <c r="AM19" s="86"/>
      <c r="AN19" s="87"/>
      <c r="AO19" s="86"/>
      <c r="AP19" s="87"/>
      <c r="AQ19" s="86"/>
      <c r="AR19" s="87"/>
      <c r="AS19" s="86"/>
      <c r="AT19" s="87"/>
      <c r="AU19" s="86"/>
      <c r="AV19" s="87"/>
      <c r="AW19" s="86"/>
      <c r="AX19" s="87"/>
      <c r="AY19" s="86"/>
    </row>
    <row r="20" spans="1:51" ht="11.25">
      <c r="A20" s="138">
        <v>29</v>
      </c>
      <c r="B20" s="139">
        <v>20</v>
      </c>
      <c r="C20" s="140">
        <v>30</v>
      </c>
      <c r="D20" s="141">
        <v>35</v>
      </c>
      <c r="E20" s="140">
        <v>35</v>
      </c>
      <c r="F20" s="141">
        <v>35</v>
      </c>
      <c r="G20" s="140">
        <v>35</v>
      </c>
      <c r="H20" s="141">
        <v>35</v>
      </c>
      <c r="I20" s="140">
        <v>35</v>
      </c>
      <c r="J20" s="141">
        <v>35</v>
      </c>
      <c r="K20" s="140">
        <v>35</v>
      </c>
      <c r="L20" s="141">
        <v>35</v>
      </c>
      <c r="M20" s="140">
        <v>35</v>
      </c>
      <c r="N20" s="141">
        <v>35</v>
      </c>
      <c r="O20" s="140">
        <v>35</v>
      </c>
      <c r="P20" s="141">
        <v>35</v>
      </c>
      <c r="Q20" s="140">
        <v>35</v>
      </c>
      <c r="R20" s="141">
        <v>35</v>
      </c>
      <c r="S20" s="140">
        <v>35</v>
      </c>
      <c r="T20" s="141">
        <v>35</v>
      </c>
      <c r="U20" s="140">
        <v>35</v>
      </c>
      <c r="V20" s="211">
        <v>35</v>
      </c>
      <c r="W20" s="200">
        <v>35</v>
      </c>
      <c r="X20" s="87">
        <v>35</v>
      </c>
      <c r="Y20" s="86">
        <v>35</v>
      </c>
      <c r="Z20" s="87">
        <v>35</v>
      </c>
      <c r="AA20" s="86">
        <v>35</v>
      </c>
      <c r="AB20" s="87">
        <v>35</v>
      </c>
      <c r="AC20" s="86">
        <v>35</v>
      </c>
      <c r="AD20" s="87">
        <v>35</v>
      </c>
      <c r="AE20" s="86">
        <v>35</v>
      </c>
      <c r="AF20" s="87">
        <v>35</v>
      </c>
      <c r="AG20" s="86">
        <v>35</v>
      </c>
      <c r="AH20" s="87">
        <v>35</v>
      </c>
      <c r="AI20" s="86">
        <v>35</v>
      </c>
      <c r="AJ20" s="87">
        <v>35</v>
      </c>
      <c r="AK20" s="86">
        <f>Tabel_basisrecht!AK20+Tabel_overgangsrecht!AK20</f>
        <v>0</v>
      </c>
      <c r="AL20" s="87"/>
      <c r="AM20" s="86"/>
      <c r="AN20" s="87"/>
      <c r="AO20" s="86"/>
      <c r="AP20" s="87"/>
      <c r="AQ20" s="86"/>
      <c r="AR20" s="87"/>
      <c r="AS20" s="86"/>
      <c r="AT20" s="87"/>
      <c r="AU20" s="86"/>
      <c r="AV20" s="87"/>
      <c r="AW20" s="86"/>
      <c r="AX20" s="87"/>
      <c r="AY20" s="86"/>
    </row>
    <row r="21" spans="1:51" ht="11.25">
      <c r="A21" s="138">
        <v>30</v>
      </c>
      <c r="B21" s="139">
        <v>20</v>
      </c>
      <c r="C21" s="140">
        <v>30</v>
      </c>
      <c r="D21" s="141">
        <v>35</v>
      </c>
      <c r="E21" s="140">
        <v>35</v>
      </c>
      <c r="F21" s="141">
        <v>35</v>
      </c>
      <c r="G21" s="140">
        <v>35</v>
      </c>
      <c r="H21" s="141">
        <v>35</v>
      </c>
      <c r="I21" s="140">
        <v>35</v>
      </c>
      <c r="J21" s="141">
        <v>35</v>
      </c>
      <c r="K21" s="140">
        <v>35</v>
      </c>
      <c r="L21" s="141">
        <v>35</v>
      </c>
      <c r="M21" s="140">
        <v>35</v>
      </c>
      <c r="N21" s="141">
        <v>35</v>
      </c>
      <c r="O21" s="140">
        <v>35</v>
      </c>
      <c r="P21" s="141">
        <v>35</v>
      </c>
      <c r="Q21" s="140">
        <v>35</v>
      </c>
      <c r="R21" s="141">
        <v>35</v>
      </c>
      <c r="S21" s="140">
        <v>35</v>
      </c>
      <c r="T21" s="141">
        <v>35</v>
      </c>
      <c r="U21" s="140">
        <v>35</v>
      </c>
      <c r="V21" s="211">
        <v>35</v>
      </c>
      <c r="W21" s="200">
        <v>35</v>
      </c>
      <c r="X21" s="87">
        <v>35</v>
      </c>
      <c r="Y21" s="86">
        <v>35</v>
      </c>
      <c r="Z21" s="87">
        <v>35</v>
      </c>
      <c r="AA21" s="86">
        <v>35</v>
      </c>
      <c r="AB21" s="87">
        <v>35</v>
      </c>
      <c r="AC21" s="86">
        <v>35</v>
      </c>
      <c r="AD21" s="87">
        <v>35</v>
      </c>
      <c r="AE21" s="86">
        <v>35</v>
      </c>
      <c r="AF21" s="87">
        <v>35</v>
      </c>
      <c r="AG21" s="86">
        <v>35</v>
      </c>
      <c r="AH21" s="87">
        <v>35</v>
      </c>
      <c r="AI21" s="86">
        <v>35</v>
      </c>
      <c r="AJ21" s="87">
        <f>Tabel_basisrecht!AJ21+Tabel_overgangsrecht!AJ21</f>
        <v>0</v>
      </c>
      <c r="AK21" s="86"/>
      <c r="AL21" s="87"/>
      <c r="AM21" s="86"/>
      <c r="AN21" s="87"/>
      <c r="AO21" s="86"/>
      <c r="AP21" s="87"/>
      <c r="AQ21" s="86"/>
      <c r="AR21" s="87"/>
      <c r="AS21" s="86"/>
      <c r="AT21" s="87"/>
      <c r="AU21" s="86"/>
      <c r="AV21" s="87"/>
      <c r="AW21" s="86"/>
      <c r="AX21" s="87"/>
      <c r="AY21" s="86"/>
    </row>
    <row r="22" spans="1:51" ht="11.25">
      <c r="A22" s="138">
        <v>31</v>
      </c>
      <c r="B22" s="139">
        <v>20</v>
      </c>
      <c r="C22" s="140">
        <v>30</v>
      </c>
      <c r="D22" s="141">
        <v>35</v>
      </c>
      <c r="E22" s="140">
        <v>35</v>
      </c>
      <c r="F22" s="141">
        <v>35</v>
      </c>
      <c r="G22" s="140">
        <v>35</v>
      </c>
      <c r="H22" s="141">
        <v>35</v>
      </c>
      <c r="I22" s="140">
        <v>35</v>
      </c>
      <c r="J22" s="141">
        <v>35</v>
      </c>
      <c r="K22" s="140">
        <v>35</v>
      </c>
      <c r="L22" s="141">
        <v>35</v>
      </c>
      <c r="M22" s="140">
        <v>35</v>
      </c>
      <c r="N22" s="141">
        <v>35</v>
      </c>
      <c r="O22" s="140">
        <v>35</v>
      </c>
      <c r="P22" s="141">
        <v>35</v>
      </c>
      <c r="Q22" s="140">
        <v>35</v>
      </c>
      <c r="R22" s="141">
        <v>35</v>
      </c>
      <c r="S22" s="140">
        <v>35</v>
      </c>
      <c r="T22" s="141">
        <v>35</v>
      </c>
      <c r="U22" s="140">
        <v>35</v>
      </c>
      <c r="V22" s="211">
        <v>35</v>
      </c>
      <c r="W22" s="200">
        <v>35</v>
      </c>
      <c r="X22" s="87">
        <v>35</v>
      </c>
      <c r="Y22" s="86">
        <v>35</v>
      </c>
      <c r="Z22" s="87">
        <v>35</v>
      </c>
      <c r="AA22" s="86">
        <v>35</v>
      </c>
      <c r="AB22" s="87">
        <v>35</v>
      </c>
      <c r="AC22" s="86">
        <v>35</v>
      </c>
      <c r="AD22" s="87">
        <v>35</v>
      </c>
      <c r="AE22" s="86">
        <v>35</v>
      </c>
      <c r="AF22" s="87">
        <v>35</v>
      </c>
      <c r="AG22" s="86">
        <v>35</v>
      </c>
      <c r="AH22" s="87">
        <v>35</v>
      </c>
      <c r="AI22" s="86">
        <f>Tabel_basisrecht!AI22+Tabel_overgangsrecht!AI22</f>
        <v>0</v>
      </c>
      <c r="AJ22" s="87"/>
      <c r="AK22" s="86"/>
      <c r="AL22" s="87"/>
      <c r="AM22" s="86"/>
      <c r="AN22" s="87"/>
      <c r="AO22" s="86"/>
      <c r="AP22" s="87"/>
      <c r="AQ22" s="86"/>
      <c r="AR22" s="87"/>
      <c r="AS22" s="86"/>
      <c r="AT22" s="87"/>
      <c r="AU22" s="86"/>
      <c r="AV22" s="87"/>
      <c r="AW22" s="86"/>
      <c r="AX22" s="87"/>
      <c r="AY22" s="86"/>
    </row>
    <row r="23" spans="1:51" ht="11.25">
      <c r="A23" s="138">
        <v>32</v>
      </c>
      <c r="B23" s="139">
        <v>20</v>
      </c>
      <c r="C23" s="140">
        <v>30</v>
      </c>
      <c r="D23" s="141">
        <v>35</v>
      </c>
      <c r="E23" s="140">
        <v>35</v>
      </c>
      <c r="F23" s="141">
        <v>35</v>
      </c>
      <c r="G23" s="140">
        <v>35</v>
      </c>
      <c r="H23" s="141">
        <v>35</v>
      </c>
      <c r="I23" s="140">
        <v>35</v>
      </c>
      <c r="J23" s="141">
        <v>35</v>
      </c>
      <c r="K23" s="140">
        <v>35</v>
      </c>
      <c r="L23" s="141">
        <v>35</v>
      </c>
      <c r="M23" s="140">
        <v>35</v>
      </c>
      <c r="N23" s="141">
        <v>35</v>
      </c>
      <c r="O23" s="140">
        <v>35</v>
      </c>
      <c r="P23" s="141">
        <v>35</v>
      </c>
      <c r="Q23" s="140">
        <v>35</v>
      </c>
      <c r="R23" s="141">
        <v>35</v>
      </c>
      <c r="S23" s="140">
        <v>35</v>
      </c>
      <c r="T23" s="141">
        <v>35</v>
      </c>
      <c r="U23" s="140">
        <v>35</v>
      </c>
      <c r="V23" s="211">
        <v>35</v>
      </c>
      <c r="W23" s="200">
        <v>35</v>
      </c>
      <c r="X23" s="87">
        <v>35</v>
      </c>
      <c r="Y23" s="86">
        <v>35</v>
      </c>
      <c r="Z23" s="87">
        <v>35</v>
      </c>
      <c r="AA23" s="86">
        <v>35</v>
      </c>
      <c r="AB23" s="87">
        <v>35</v>
      </c>
      <c r="AC23" s="86">
        <v>35</v>
      </c>
      <c r="AD23" s="87">
        <v>35</v>
      </c>
      <c r="AE23" s="86">
        <v>35</v>
      </c>
      <c r="AF23" s="87">
        <v>35</v>
      </c>
      <c r="AG23" s="86">
        <v>35</v>
      </c>
      <c r="AH23" s="87">
        <f>Tabel_basisrecht!AH23+Tabel_overgangsrecht!AH23</f>
        <v>0</v>
      </c>
      <c r="AI23" s="86"/>
      <c r="AJ23" s="87"/>
      <c r="AK23" s="86"/>
      <c r="AL23" s="87"/>
      <c r="AM23" s="86"/>
      <c r="AN23" s="87"/>
      <c r="AO23" s="86"/>
      <c r="AP23" s="87"/>
      <c r="AQ23" s="86"/>
      <c r="AR23" s="87"/>
      <c r="AS23" s="86"/>
      <c r="AT23" s="87"/>
      <c r="AU23" s="86"/>
      <c r="AV23" s="87"/>
      <c r="AW23" s="86"/>
      <c r="AX23" s="87"/>
      <c r="AY23" s="86"/>
    </row>
    <row r="24" spans="1:51" ht="11.25">
      <c r="A24" s="138">
        <v>33</v>
      </c>
      <c r="B24" s="139">
        <v>20</v>
      </c>
      <c r="C24" s="140">
        <v>30</v>
      </c>
      <c r="D24" s="141">
        <v>35</v>
      </c>
      <c r="E24" s="140">
        <v>35</v>
      </c>
      <c r="F24" s="141">
        <v>35</v>
      </c>
      <c r="G24" s="140">
        <v>35</v>
      </c>
      <c r="H24" s="141">
        <v>35</v>
      </c>
      <c r="I24" s="140">
        <v>35</v>
      </c>
      <c r="J24" s="141">
        <v>35</v>
      </c>
      <c r="K24" s="140">
        <v>35</v>
      </c>
      <c r="L24" s="141">
        <v>35</v>
      </c>
      <c r="M24" s="140">
        <v>35</v>
      </c>
      <c r="N24" s="141">
        <v>35</v>
      </c>
      <c r="O24" s="140">
        <v>35</v>
      </c>
      <c r="P24" s="141">
        <v>35</v>
      </c>
      <c r="Q24" s="140">
        <v>35</v>
      </c>
      <c r="R24" s="141">
        <v>35</v>
      </c>
      <c r="S24" s="140">
        <v>35</v>
      </c>
      <c r="T24" s="141">
        <v>35</v>
      </c>
      <c r="U24" s="140">
        <v>35</v>
      </c>
      <c r="V24" s="211">
        <v>35</v>
      </c>
      <c r="W24" s="200">
        <v>35</v>
      </c>
      <c r="X24" s="87">
        <v>35</v>
      </c>
      <c r="Y24" s="86">
        <v>35</v>
      </c>
      <c r="Z24" s="87">
        <v>35</v>
      </c>
      <c r="AA24" s="86">
        <v>35</v>
      </c>
      <c r="AB24" s="87">
        <v>35</v>
      </c>
      <c r="AC24" s="86">
        <v>35</v>
      </c>
      <c r="AD24" s="87">
        <v>35</v>
      </c>
      <c r="AE24" s="86">
        <v>35</v>
      </c>
      <c r="AF24" s="87">
        <v>35</v>
      </c>
      <c r="AG24" s="86">
        <f>Tabel_basisrecht!AG24+Tabel_overgangsrecht!AG24</f>
        <v>0</v>
      </c>
      <c r="AH24" s="87"/>
      <c r="AI24" s="86"/>
      <c r="AJ24" s="87"/>
      <c r="AK24" s="86"/>
      <c r="AL24" s="87"/>
      <c r="AM24" s="86"/>
      <c r="AN24" s="87"/>
      <c r="AO24" s="86"/>
      <c r="AP24" s="87"/>
      <c r="AQ24" s="86"/>
      <c r="AR24" s="87"/>
      <c r="AS24" s="86"/>
      <c r="AT24" s="87"/>
      <c r="AU24" s="86"/>
      <c r="AV24" s="87"/>
      <c r="AW24" s="86"/>
      <c r="AX24" s="87"/>
      <c r="AY24" s="86"/>
    </row>
    <row r="25" spans="1:51" ht="11.25">
      <c r="A25" s="138">
        <v>34</v>
      </c>
      <c r="B25" s="139">
        <v>20</v>
      </c>
      <c r="C25" s="140">
        <v>30</v>
      </c>
      <c r="D25" s="141">
        <v>35</v>
      </c>
      <c r="E25" s="140">
        <v>35</v>
      </c>
      <c r="F25" s="141">
        <v>35</v>
      </c>
      <c r="G25" s="140">
        <v>35</v>
      </c>
      <c r="H25" s="141">
        <v>35</v>
      </c>
      <c r="I25" s="140">
        <v>35</v>
      </c>
      <c r="J25" s="141">
        <v>35</v>
      </c>
      <c r="K25" s="140">
        <v>35</v>
      </c>
      <c r="L25" s="141">
        <v>35</v>
      </c>
      <c r="M25" s="140">
        <v>35</v>
      </c>
      <c r="N25" s="141">
        <v>35</v>
      </c>
      <c r="O25" s="140">
        <v>35</v>
      </c>
      <c r="P25" s="141">
        <v>35</v>
      </c>
      <c r="Q25" s="140">
        <v>35</v>
      </c>
      <c r="R25" s="141">
        <v>35</v>
      </c>
      <c r="S25" s="140">
        <v>35</v>
      </c>
      <c r="T25" s="141">
        <v>35</v>
      </c>
      <c r="U25" s="140">
        <v>35</v>
      </c>
      <c r="V25" s="211">
        <v>35</v>
      </c>
      <c r="W25" s="200">
        <v>35</v>
      </c>
      <c r="X25" s="87">
        <v>35</v>
      </c>
      <c r="Y25" s="86">
        <v>35</v>
      </c>
      <c r="Z25" s="87">
        <v>35</v>
      </c>
      <c r="AA25" s="86">
        <v>35</v>
      </c>
      <c r="AB25" s="87">
        <v>35</v>
      </c>
      <c r="AC25" s="86">
        <v>35</v>
      </c>
      <c r="AD25" s="87">
        <v>35</v>
      </c>
      <c r="AE25" s="86">
        <v>35</v>
      </c>
      <c r="AF25" s="87">
        <f>Tabel_basisrecht!AF25+Tabel_overgangsrecht!AF25</f>
        <v>0</v>
      </c>
      <c r="AG25" s="86"/>
      <c r="AH25" s="87"/>
      <c r="AI25" s="86"/>
      <c r="AJ25" s="87"/>
      <c r="AK25" s="86"/>
      <c r="AL25" s="87"/>
      <c r="AM25" s="86"/>
      <c r="AN25" s="87"/>
      <c r="AO25" s="86"/>
      <c r="AP25" s="87"/>
      <c r="AQ25" s="86"/>
      <c r="AR25" s="87"/>
      <c r="AS25" s="86"/>
      <c r="AT25" s="87"/>
      <c r="AU25" s="86"/>
      <c r="AV25" s="87"/>
      <c r="AW25" s="86"/>
      <c r="AX25" s="87"/>
      <c r="AY25" s="86"/>
    </row>
    <row r="26" spans="1:51" ht="11.25">
      <c r="A26" s="138">
        <v>35</v>
      </c>
      <c r="B26" s="139">
        <v>20</v>
      </c>
      <c r="C26" s="140">
        <v>30</v>
      </c>
      <c r="D26" s="141">
        <v>35</v>
      </c>
      <c r="E26" s="140">
        <v>35</v>
      </c>
      <c r="F26" s="141">
        <v>35</v>
      </c>
      <c r="G26" s="140">
        <v>35</v>
      </c>
      <c r="H26" s="141">
        <v>35</v>
      </c>
      <c r="I26" s="140">
        <v>35</v>
      </c>
      <c r="J26" s="141">
        <v>35</v>
      </c>
      <c r="K26" s="140">
        <v>35</v>
      </c>
      <c r="L26" s="141">
        <v>35</v>
      </c>
      <c r="M26" s="140">
        <v>35</v>
      </c>
      <c r="N26" s="141">
        <v>35</v>
      </c>
      <c r="O26" s="140">
        <v>35</v>
      </c>
      <c r="P26" s="141">
        <v>35</v>
      </c>
      <c r="Q26" s="140">
        <v>35</v>
      </c>
      <c r="R26" s="141">
        <v>35</v>
      </c>
      <c r="S26" s="140">
        <v>35</v>
      </c>
      <c r="T26" s="141">
        <v>35</v>
      </c>
      <c r="U26" s="140">
        <v>35</v>
      </c>
      <c r="V26" s="211">
        <v>35</v>
      </c>
      <c r="W26" s="200">
        <v>35</v>
      </c>
      <c r="X26" s="87">
        <v>35</v>
      </c>
      <c r="Y26" s="86">
        <v>35</v>
      </c>
      <c r="Z26" s="87">
        <v>35</v>
      </c>
      <c r="AA26" s="86">
        <v>35</v>
      </c>
      <c r="AB26" s="87">
        <v>35</v>
      </c>
      <c r="AC26" s="86">
        <v>35</v>
      </c>
      <c r="AD26" s="87">
        <v>35</v>
      </c>
      <c r="AE26" s="86">
        <f>Tabel_basisrecht!AE26+Tabel_overgangsrecht!AE26</f>
        <v>0</v>
      </c>
      <c r="AF26" s="87"/>
      <c r="AG26" s="86"/>
      <c r="AH26" s="87"/>
      <c r="AI26" s="86"/>
      <c r="AJ26" s="87"/>
      <c r="AK26" s="86"/>
      <c r="AL26" s="87"/>
      <c r="AM26" s="86"/>
      <c r="AN26" s="87"/>
      <c r="AO26" s="86"/>
      <c r="AP26" s="87"/>
      <c r="AQ26" s="86"/>
      <c r="AR26" s="87"/>
      <c r="AS26" s="86"/>
      <c r="AT26" s="87"/>
      <c r="AU26" s="86"/>
      <c r="AV26" s="87"/>
      <c r="AW26" s="86"/>
      <c r="AX26" s="87"/>
      <c r="AY26" s="86"/>
    </row>
    <row r="27" spans="1:51" ht="11.25">
      <c r="A27" s="138">
        <v>36</v>
      </c>
      <c r="B27" s="139">
        <v>20</v>
      </c>
      <c r="C27" s="140">
        <v>30</v>
      </c>
      <c r="D27" s="141">
        <v>35</v>
      </c>
      <c r="E27" s="140">
        <v>35</v>
      </c>
      <c r="F27" s="141">
        <v>35</v>
      </c>
      <c r="G27" s="140">
        <v>35</v>
      </c>
      <c r="H27" s="141">
        <v>35</v>
      </c>
      <c r="I27" s="140">
        <v>35</v>
      </c>
      <c r="J27" s="141">
        <v>35</v>
      </c>
      <c r="K27" s="140">
        <v>35</v>
      </c>
      <c r="L27" s="141">
        <v>35</v>
      </c>
      <c r="M27" s="140">
        <v>35</v>
      </c>
      <c r="N27" s="141">
        <v>35</v>
      </c>
      <c r="O27" s="140">
        <v>35</v>
      </c>
      <c r="P27" s="141">
        <v>35</v>
      </c>
      <c r="Q27" s="140">
        <v>35</v>
      </c>
      <c r="R27" s="141">
        <v>35</v>
      </c>
      <c r="S27" s="140">
        <v>35</v>
      </c>
      <c r="T27" s="141">
        <v>35</v>
      </c>
      <c r="U27" s="140">
        <v>35</v>
      </c>
      <c r="V27" s="211">
        <v>35</v>
      </c>
      <c r="W27" s="200">
        <v>35</v>
      </c>
      <c r="X27" s="87">
        <v>35</v>
      </c>
      <c r="Y27" s="86">
        <v>35</v>
      </c>
      <c r="Z27" s="87">
        <v>35</v>
      </c>
      <c r="AA27" s="86">
        <v>35</v>
      </c>
      <c r="AB27" s="87">
        <v>35</v>
      </c>
      <c r="AC27" s="86">
        <v>35</v>
      </c>
      <c r="AD27" s="87">
        <f>Tabel_basisrecht!AD27+Tabel_overgangsrecht!AD27</f>
        <v>0</v>
      </c>
      <c r="AE27" s="86"/>
      <c r="AF27" s="87"/>
      <c r="AG27" s="86"/>
      <c r="AH27" s="87"/>
      <c r="AI27" s="86"/>
      <c r="AJ27" s="87"/>
      <c r="AK27" s="86"/>
      <c r="AL27" s="87"/>
      <c r="AM27" s="86"/>
      <c r="AN27" s="87"/>
      <c r="AO27" s="86"/>
      <c r="AP27" s="87"/>
      <c r="AQ27" s="86"/>
      <c r="AR27" s="87"/>
      <c r="AS27" s="86"/>
      <c r="AT27" s="87"/>
      <c r="AU27" s="86"/>
      <c r="AV27" s="87"/>
      <c r="AW27" s="86"/>
      <c r="AX27" s="87"/>
      <c r="AY27" s="86"/>
    </row>
    <row r="28" spans="1:51" ht="11.25">
      <c r="A28" s="138">
        <v>37</v>
      </c>
      <c r="B28" s="139">
        <v>20</v>
      </c>
      <c r="C28" s="140">
        <v>30</v>
      </c>
      <c r="D28" s="141">
        <v>35</v>
      </c>
      <c r="E28" s="140">
        <v>35</v>
      </c>
      <c r="F28" s="141">
        <v>35</v>
      </c>
      <c r="G28" s="140">
        <v>35</v>
      </c>
      <c r="H28" s="141">
        <v>35</v>
      </c>
      <c r="I28" s="140">
        <v>35</v>
      </c>
      <c r="J28" s="141">
        <v>35</v>
      </c>
      <c r="K28" s="140">
        <v>35</v>
      </c>
      <c r="L28" s="141">
        <v>35</v>
      </c>
      <c r="M28" s="140">
        <v>35</v>
      </c>
      <c r="N28" s="141">
        <v>35</v>
      </c>
      <c r="O28" s="140">
        <v>35</v>
      </c>
      <c r="P28" s="141">
        <v>35</v>
      </c>
      <c r="Q28" s="140">
        <v>35</v>
      </c>
      <c r="R28" s="141">
        <v>35</v>
      </c>
      <c r="S28" s="140">
        <v>35</v>
      </c>
      <c r="T28" s="141">
        <v>35</v>
      </c>
      <c r="U28" s="140">
        <v>35</v>
      </c>
      <c r="V28" s="211">
        <v>35</v>
      </c>
      <c r="W28" s="200">
        <v>35</v>
      </c>
      <c r="X28" s="87">
        <v>35</v>
      </c>
      <c r="Y28" s="86">
        <v>35</v>
      </c>
      <c r="Z28" s="87">
        <v>35</v>
      </c>
      <c r="AA28" s="86">
        <v>35</v>
      </c>
      <c r="AB28" s="87">
        <v>35</v>
      </c>
      <c r="AC28" s="86">
        <f>Tabel_basisrecht!AC28+Tabel_overgangsrecht!AC28</f>
        <v>0</v>
      </c>
      <c r="AD28" s="87"/>
      <c r="AE28" s="86"/>
      <c r="AF28" s="87"/>
      <c r="AG28" s="86"/>
      <c r="AH28" s="87"/>
      <c r="AI28" s="86"/>
      <c r="AJ28" s="87"/>
      <c r="AK28" s="86"/>
      <c r="AL28" s="87"/>
      <c r="AM28" s="86"/>
      <c r="AN28" s="87"/>
      <c r="AO28" s="86"/>
      <c r="AP28" s="87"/>
      <c r="AQ28" s="86"/>
      <c r="AR28" s="87"/>
      <c r="AS28" s="86"/>
      <c r="AT28" s="87"/>
      <c r="AU28" s="86"/>
      <c r="AV28" s="87"/>
      <c r="AW28" s="86"/>
      <c r="AX28" s="87"/>
      <c r="AY28" s="86"/>
    </row>
    <row r="29" spans="1:51" ht="11.25">
      <c r="A29" s="138">
        <v>38</v>
      </c>
      <c r="B29" s="139">
        <v>20</v>
      </c>
      <c r="C29" s="140">
        <v>30</v>
      </c>
      <c r="D29" s="141">
        <v>35</v>
      </c>
      <c r="E29" s="140">
        <v>35</v>
      </c>
      <c r="F29" s="141">
        <v>35</v>
      </c>
      <c r="G29" s="140">
        <v>35</v>
      </c>
      <c r="H29" s="141">
        <v>35</v>
      </c>
      <c r="I29" s="140">
        <v>35</v>
      </c>
      <c r="J29" s="141">
        <v>35</v>
      </c>
      <c r="K29" s="140">
        <v>35</v>
      </c>
      <c r="L29" s="141">
        <v>35</v>
      </c>
      <c r="M29" s="140">
        <v>35</v>
      </c>
      <c r="N29" s="141">
        <v>35</v>
      </c>
      <c r="O29" s="140">
        <v>35</v>
      </c>
      <c r="P29" s="141">
        <v>35</v>
      </c>
      <c r="Q29" s="140">
        <v>35</v>
      </c>
      <c r="R29" s="141">
        <v>35</v>
      </c>
      <c r="S29" s="140">
        <v>35</v>
      </c>
      <c r="T29" s="141">
        <v>35</v>
      </c>
      <c r="U29" s="140">
        <v>35</v>
      </c>
      <c r="V29" s="211">
        <v>35</v>
      </c>
      <c r="W29" s="200">
        <v>35</v>
      </c>
      <c r="X29" s="87">
        <v>35</v>
      </c>
      <c r="Y29" s="86">
        <v>35</v>
      </c>
      <c r="Z29" s="87">
        <v>35</v>
      </c>
      <c r="AA29" s="86">
        <v>35</v>
      </c>
      <c r="AB29" s="87">
        <f>Tabel_basisrecht!AB29+Tabel_overgangsrecht!AB29</f>
        <v>0</v>
      </c>
      <c r="AC29" s="86"/>
      <c r="AD29" s="87"/>
      <c r="AE29" s="86"/>
      <c r="AF29" s="87"/>
      <c r="AG29" s="86"/>
      <c r="AH29" s="87"/>
      <c r="AI29" s="86"/>
      <c r="AJ29" s="87"/>
      <c r="AK29" s="86"/>
      <c r="AL29" s="87"/>
      <c r="AM29" s="86"/>
      <c r="AN29" s="87"/>
      <c r="AO29" s="86"/>
      <c r="AP29" s="87"/>
      <c r="AQ29" s="86"/>
      <c r="AR29" s="87"/>
      <c r="AS29" s="86"/>
      <c r="AT29" s="87"/>
      <c r="AU29" s="86"/>
      <c r="AV29" s="87"/>
      <c r="AW29" s="86"/>
      <c r="AX29" s="87"/>
      <c r="AY29" s="86"/>
    </row>
    <row r="30" spans="1:51" ht="11.25">
      <c r="A30" s="138">
        <v>39</v>
      </c>
      <c r="B30" s="139">
        <v>20</v>
      </c>
      <c r="C30" s="140">
        <v>30</v>
      </c>
      <c r="D30" s="141">
        <v>35</v>
      </c>
      <c r="E30" s="140">
        <v>35</v>
      </c>
      <c r="F30" s="141">
        <v>35</v>
      </c>
      <c r="G30" s="140">
        <v>35</v>
      </c>
      <c r="H30" s="141">
        <v>35</v>
      </c>
      <c r="I30" s="140">
        <v>35</v>
      </c>
      <c r="J30" s="141">
        <v>35</v>
      </c>
      <c r="K30" s="140">
        <v>35</v>
      </c>
      <c r="L30" s="141">
        <v>35</v>
      </c>
      <c r="M30" s="140">
        <v>35</v>
      </c>
      <c r="N30" s="141">
        <v>35</v>
      </c>
      <c r="O30" s="140">
        <v>35</v>
      </c>
      <c r="P30" s="141">
        <v>35</v>
      </c>
      <c r="Q30" s="140">
        <v>35</v>
      </c>
      <c r="R30" s="141">
        <v>35</v>
      </c>
      <c r="S30" s="140">
        <v>35</v>
      </c>
      <c r="T30" s="141">
        <v>35</v>
      </c>
      <c r="U30" s="140">
        <v>35</v>
      </c>
      <c r="V30" s="211">
        <v>35</v>
      </c>
      <c r="W30" s="200">
        <v>35</v>
      </c>
      <c r="X30" s="87">
        <v>35</v>
      </c>
      <c r="Y30" s="86">
        <v>35</v>
      </c>
      <c r="Z30" s="87">
        <v>35</v>
      </c>
      <c r="AA30" s="86">
        <f>Tabel_basisrecht!AA30+Tabel_overgangsrecht!AA30</f>
        <v>0</v>
      </c>
      <c r="AB30" s="87"/>
      <c r="AC30" s="86"/>
      <c r="AD30" s="87"/>
      <c r="AE30" s="86"/>
      <c r="AF30" s="87"/>
      <c r="AG30" s="86"/>
      <c r="AH30" s="87"/>
      <c r="AI30" s="86"/>
      <c r="AJ30" s="87"/>
      <c r="AK30" s="86"/>
      <c r="AL30" s="87"/>
      <c r="AM30" s="86"/>
      <c r="AN30" s="87"/>
      <c r="AO30" s="86"/>
      <c r="AP30" s="87"/>
      <c r="AQ30" s="86"/>
      <c r="AR30" s="87"/>
      <c r="AS30" s="86"/>
      <c r="AT30" s="87"/>
      <c r="AU30" s="86"/>
      <c r="AV30" s="87"/>
      <c r="AW30" s="86"/>
      <c r="AX30" s="87"/>
      <c r="AY30" s="86"/>
    </row>
    <row r="31" spans="1:51" ht="11.25">
      <c r="A31" s="138">
        <v>40</v>
      </c>
      <c r="B31" s="139">
        <v>20</v>
      </c>
      <c r="C31" s="140">
        <v>30</v>
      </c>
      <c r="D31" s="141">
        <v>35</v>
      </c>
      <c r="E31" s="140">
        <v>35</v>
      </c>
      <c r="F31" s="141">
        <v>35</v>
      </c>
      <c r="G31" s="140">
        <v>35</v>
      </c>
      <c r="H31" s="141">
        <v>35</v>
      </c>
      <c r="I31" s="140">
        <v>35</v>
      </c>
      <c r="J31" s="141">
        <v>35</v>
      </c>
      <c r="K31" s="140">
        <v>35</v>
      </c>
      <c r="L31" s="141">
        <v>35</v>
      </c>
      <c r="M31" s="140">
        <v>35</v>
      </c>
      <c r="N31" s="141">
        <v>35</v>
      </c>
      <c r="O31" s="140">
        <v>35</v>
      </c>
      <c r="P31" s="141">
        <v>35</v>
      </c>
      <c r="Q31" s="140">
        <v>35</v>
      </c>
      <c r="R31" s="141">
        <v>35</v>
      </c>
      <c r="S31" s="140">
        <v>35</v>
      </c>
      <c r="T31" s="141">
        <v>35</v>
      </c>
      <c r="U31" s="140">
        <v>35</v>
      </c>
      <c r="V31" s="211">
        <v>35</v>
      </c>
      <c r="W31" s="200">
        <v>35</v>
      </c>
      <c r="X31" s="87">
        <v>35</v>
      </c>
      <c r="Y31" s="86">
        <v>35</v>
      </c>
      <c r="Z31" s="87">
        <f>Tabel_basisrecht!Z31+Tabel_overgangsrecht!Z31</f>
        <v>0</v>
      </c>
      <c r="AA31" s="86"/>
      <c r="AB31" s="87"/>
      <c r="AC31" s="86"/>
      <c r="AD31" s="87"/>
      <c r="AE31" s="86"/>
      <c r="AF31" s="87"/>
      <c r="AG31" s="86"/>
      <c r="AH31" s="87"/>
      <c r="AI31" s="86"/>
      <c r="AJ31" s="87"/>
      <c r="AK31" s="86"/>
      <c r="AL31" s="87"/>
      <c r="AM31" s="86"/>
      <c r="AN31" s="87"/>
      <c r="AO31" s="86"/>
      <c r="AP31" s="87"/>
      <c r="AQ31" s="86"/>
      <c r="AR31" s="87"/>
      <c r="AS31" s="86"/>
      <c r="AT31" s="87"/>
      <c r="AU31" s="86"/>
      <c r="AV31" s="87"/>
      <c r="AW31" s="86"/>
      <c r="AX31" s="87"/>
      <c r="AY31" s="86"/>
    </row>
    <row r="32" spans="1:51" ht="11.25">
      <c r="A32" s="138">
        <v>41</v>
      </c>
      <c r="B32" s="139">
        <v>20</v>
      </c>
      <c r="C32" s="140">
        <v>30</v>
      </c>
      <c r="D32" s="141">
        <v>35</v>
      </c>
      <c r="E32" s="140">
        <v>35</v>
      </c>
      <c r="F32" s="141">
        <v>35</v>
      </c>
      <c r="G32" s="140">
        <v>35</v>
      </c>
      <c r="H32" s="141">
        <v>35</v>
      </c>
      <c r="I32" s="140">
        <v>35</v>
      </c>
      <c r="J32" s="141">
        <v>35</v>
      </c>
      <c r="K32" s="140">
        <v>35</v>
      </c>
      <c r="L32" s="141">
        <v>35</v>
      </c>
      <c r="M32" s="140">
        <v>35</v>
      </c>
      <c r="N32" s="141">
        <v>35</v>
      </c>
      <c r="O32" s="140">
        <v>35</v>
      </c>
      <c r="P32" s="141">
        <v>35</v>
      </c>
      <c r="Q32" s="140">
        <v>35</v>
      </c>
      <c r="R32" s="141">
        <v>35</v>
      </c>
      <c r="S32" s="140">
        <v>35</v>
      </c>
      <c r="T32" s="141">
        <v>35</v>
      </c>
      <c r="U32" s="140">
        <v>35</v>
      </c>
      <c r="V32" s="211">
        <v>35</v>
      </c>
      <c r="W32" s="200">
        <v>35</v>
      </c>
      <c r="X32" s="87">
        <v>35</v>
      </c>
      <c r="Y32" s="86">
        <f>Tabel_basisrecht!Y32+Tabel_overgangsrecht!Y32</f>
        <v>0</v>
      </c>
      <c r="Z32" s="87"/>
      <c r="AA32" s="86"/>
      <c r="AB32" s="87"/>
      <c r="AC32" s="86"/>
      <c r="AD32" s="87"/>
      <c r="AE32" s="86"/>
      <c r="AF32" s="87"/>
      <c r="AG32" s="86"/>
      <c r="AH32" s="87"/>
      <c r="AI32" s="86"/>
      <c r="AJ32" s="87"/>
      <c r="AK32" s="86"/>
      <c r="AL32" s="87"/>
      <c r="AM32" s="86"/>
      <c r="AN32" s="87"/>
      <c r="AO32" s="86"/>
      <c r="AP32" s="87"/>
      <c r="AQ32" s="86"/>
      <c r="AR32" s="87"/>
      <c r="AS32" s="86"/>
      <c r="AT32" s="87"/>
      <c r="AU32" s="86"/>
      <c r="AV32" s="87"/>
      <c r="AW32" s="86"/>
      <c r="AX32" s="87"/>
      <c r="AY32" s="86"/>
    </row>
    <row r="33" spans="1:51" ht="11.25">
      <c r="A33" s="138">
        <v>42</v>
      </c>
      <c r="B33" s="139">
        <v>20</v>
      </c>
      <c r="C33" s="140">
        <v>30</v>
      </c>
      <c r="D33" s="141">
        <v>35</v>
      </c>
      <c r="E33" s="140">
        <v>35</v>
      </c>
      <c r="F33" s="141">
        <v>35</v>
      </c>
      <c r="G33" s="140">
        <v>35</v>
      </c>
      <c r="H33" s="141">
        <v>35</v>
      </c>
      <c r="I33" s="140">
        <v>35</v>
      </c>
      <c r="J33" s="141">
        <v>35</v>
      </c>
      <c r="K33" s="140">
        <v>35</v>
      </c>
      <c r="L33" s="141">
        <v>35</v>
      </c>
      <c r="M33" s="140">
        <v>35</v>
      </c>
      <c r="N33" s="141">
        <v>35</v>
      </c>
      <c r="O33" s="140">
        <v>35</v>
      </c>
      <c r="P33" s="141">
        <v>35</v>
      </c>
      <c r="Q33" s="140">
        <v>35</v>
      </c>
      <c r="R33" s="141">
        <v>35</v>
      </c>
      <c r="S33" s="140">
        <v>35</v>
      </c>
      <c r="T33" s="141">
        <v>35</v>
      </c>
      <c r="U33" s="140">
        <v>35</v>
      </c>
      <c r="V33" s="211">
        <v>35</v>
      </c>
      <c r="W33" s="200">
        <v>35</v>
      </c>
      <c r="X33" s="87">
        <f>Tabel_basisrecht!X33+Tabel_overgangsrecht!X33</f>
        <v>0</v>
      </c>
      <c r="Y33" s="86"/>
      <c r="Z33" s="87"/>
      <c r="AA33" s="86"/>
      <c r="AB33" s="87"/>
      <c r="AC33" s="86"/>
      <c r="AD33" s="87"/>
      <c r="AE33" s="86"/>
      <c r="AF33" s="87"/>
      <c r="AG33" s="86"/>
      <c r="AH33" s="87"/>
      <c r="AI33" s="86"/>
      <c r="AJ33" s="87"/>
      <c r="AK33" s="86"/>
      <c r="AL33" s="87"/>
      <c r="AM33" s="86"/>
      <c r="AN33" s="87"/>
      <c r="AO33" s="86"/>
      <c r="AP33" s="87"/>
      <c r="AQ33" s="86"/>
      <c r="AR33" s="87"/>
      <c r="AS33" s="86"/>
      <c r="AT33" s="87"/>
      <c r="AU33" s="86"/>
      <c r="AV33" s="87"/>
      <c r="AW33" s="86"/>
      <c r="AX33" s="87"/>
      <c r="AY33" s="86"/>
    </row>
    <row r="34" spans="1:51" ht="11.25">
      <c r="A34" s="138">
        <v>43</v>
      </c>
      <c r="B34" s="139">
        <v>20</v>
      </c>
      <c r="C34" s="140">
        <v>30</v>
      </c>
      <c r="D34" s="141">
        <v>35</v>
      </c>
      <c r="E34" s="140">
        <v>35</v>
      </c>
      <c r="F34" s="141">
        <v>35</v>
      </c>
      <c r="G34" s="140">
        <v>35</v>
      </c>
      <c r="H34" s="141">
        <v>35</v>
      </c>
      <c r="I34" s="140">
        <v>35</v>
      </c>
      <c r="J34" s="141">
        <v>35</v>
      </c>
      <c r="K34" s="140">
        <v>35</v>
      </c>
      <c r="L34" s="141">
        <v>35</v>
      </c>
      <c r="M34" s="140">
        <v>35</v>
      </c>
      <c r="N34" s="141">
        <v>35</v>
      </c>
      <c r="O34" s="140">
        <v>35</v>
      </c>
      <c r="P34" s="141">
        <v>35</v>
      </c>
      <c r="Q34" s="140">
        <v>35</v>
      </c>
      <c r="R34" s="141">
        <v>35</v>
      </c>
      <c r="S34" s="140">
        <v>35</v>
      </c>
      <c r="T34" s="141">
        <v>35</v>
      </c>
      <c r="U34" s="140">
        <v>35</v>
      </c>
      <c r="V34" s="211">
        <v>35</v>
      </c>
      <c r="W34" s="200">
        <f>Tabel_basisrecht!W34+Tabel_overgangsrecht!W34</f>
        <v>0</v>
      </c>
      <c r="X34" s="87"/>
      <c r="Y34" s="86"/>
      <c r="Z34" s="87"/>
      <c r="AA34" s="86"/>
      <c r="AB34" s="87"/>
      <c r="AC34" s="86"/>
      <c r="AD34" s="87"/>
      <c r="AE34" s="86"/>
      <c r="AF34" s="87"/>
      <c r="AG34" s="86"/>
      <c r="AH34" s="87"/>
      <c r="AI34" s="86"/>
      <c r="AJ34" s="87"/>
      <c r="AK34" s="86"/>
      <c r="AL34" s="87"/>
      <c r="AM34" s="86"/>
      <c r="AN34" s="87"/>
      <c r="AO34" s="86"/>
      <c r="AP34" s="87"/>
      <c r="AQ34" s="86"/>
      <c r="AR34" s="87"/>
      <c r="AS34" s="86"/>
      <c r="AT34" s="87"/>
      <c r="AU34" s="86"/>
      <c r="AV34" s="87"/>
      <c r="AW34" s="86"/>
      <c r="AX34" s="87"/>
      <c r="AY34" s="86"/>
    </row>
    <row r="35" spans="1:51" ht="11.25">
      <c r="A35" s="138">
        <v>44</v>
      </c>
      <c r="B35" s="139">
        <v>20</v>
      </c>
      <c r="C35" s="140">
        <v>30</v>
      </c>
      <c r="D35" s="141">
        <v>35</v>
      </c>
      <c r="E35" s="140">
        <v>35</v>
      </c>
      <c r="F35" s="141">
        <v>35</v>
      </c>
      <c r="G35" s="140">
        <v>35</v>
      </c>
      <c r="H35" s="141">
        <v>35</v>
      </c>
      <c r="I35" s="140">
        <v>35</v>
      </c>
      <c r="J35" s="141">
        <v>35</v>
      </c>
      <c r="K35" s="140">
        <v>35</v>
      </c>
      <c r="L35" s="141">
        <v>35</v>
      </c>
      <c r="M35" s="140">
        <v>35</v>
      </c>
      <c r="N35" s="141">
        <v>35</v>
      </c>
      <c r="O35" s="140">
        <v>35</v>
      </c>
      <c r="P35" s="141">
        <v>35</v>
      </c>
      <c r="Q35" s="140">
        <v>35</v>
      </c>
      <c r="R35" s="141">
        <v>35</v>
      </c>
      <c r="S35" s="140">
        <v>35</v>
      </c>
      <c r="T35" s="141">
        <v>35</v>
      </c>
      <c r="U35" s="140">
        <v>35</v>
      </c>
      <c r="V35" s="211">
        <f>Tabel_basisrecht!V35+Tabel_overgangsrecht!V35</f>
        <v>0</v>
      </c>
      <c r="W35" s="200"/>
      <c r="X35" s="87"/>
      <c r="Y35" s="86"/>
      <c r="Z35" s="87"/>
      <c r="AA35" s="86"/>
      <c r="AB35" s="87"/>
      <c r="AC35" s="86"/>
      <c r="AD35" s="87"/>
      <c r="AE35" s="86"/>
      <c r="AF35" s="87"/>
      <c r="AG35" s="86"/>
      <c r="AH35" s="87"/>
      <c r="AI35" s="86"/>
      <c r="AJ35" s="87"/>
      <c r="AK35" s="86"/>
      <c r="AL35" s="87"/>
      <c r="AM35" s="86"/>
      <c r="AN35" s="87"/>
      <c r="AO35" s="86"/>
      <c r="AP35" s="87"/>
      <c r="AQ35" s="86"/>
      <c r="AR35" s="87"/>
      <c r="AS35" s="86"/>
      <c r="AT35" s="87"/>
      <c r="AU35" s="86"/>
      <c r="AV35" s="87"/>
      <c r="AW35" s="86"/>
      <c r="AX35" s="87"/>
      <c r="AY35" s="86"/>
    </row>
    <row r="36" spans="1:51" ht="11.25">
      <c r="A36" s="138">
        <v>45</v>
      </c>
      <c r="B36" s="139">
        <v>20</v>
      </c>
      <c r="C36" s="140">
        <v>30</v>
      </c>
      <c r="D36" s="141">
        <v>35</v>
      </c>
      <c r="E36" s="140">
        <v>35</v>
      </c>
      <c r="F36" s="141">
        <v>35</v>
      </c>
      <c r="G36" s="140">
        <v>35</v>
      </c>
      <c r="H36" s="141">
        <v>35</v>
      </c>
      <c r="I36" s="140">
        <v>35</v>
      </c>
      <c r="J36" s="141">
        <v>35</v>
      </c>
      <c r="K36" s="140">
        <v>235</v>
      </c>
      <c r="L36" s="141">
        <v>35</v>
      </c>
      <c r="M36" s="140">
        <v>35</v>
      </c>
      <c r="N36" s="141">
        <v>35</v>
      </c>
      <c r="O36" s="140">
        <v>35</v>
      </c>
      <c r="P36" s="141">
        <v>35</v>
      </c>
      <c r="Q36" s="140">
        <v>35</v>
      </c>
      <c r="R36" s="141">
        <v>35</v>
      </c>
      <c r="S36" s="140">
        <v>35</v>
      </c>
      <c r="T36" s="141">
        <v>35</v>
      </c>
      <c r="U36" s="140">
        <f>Tabel_basisrecht!U36+Tabel_overgangsrecht!U36</f>
        <v>0</v>
      </c>
      <c r="V36" s="211"/>
      <c r="W36" s="200"/>
      <c r="X36" s="87"/>
      <c r="Y36" s="86"/>
      <c r="Z36" s="87"/>
      <c r="AA36" s="86"/>
      <c r="AB36" s="87"/>
      <c r="AC36" s="86"/>
      <c r="AD36" s="87"/>
      <c r="AE36" s="86"/>
      <c r="AF36" s="87"/>
      <c r="AG36" s="86"/>
      <c r="AH36" s="87"/>
      <c r="AI36" s="86"/>
      <c r="AJ36" s="87"/>
      <c r="AK36" s="86"/>
      <c r="AL36" s="87"/>
      <c r="AM36" s="86"/>
      <c r="AN36" s="87"/>
      <c r="AO36" s="86"/>
      <c r="AP36" s="87"/>
      <c r="AQ36" s="86"/>
      <c r="AR36" s="87"/>
      <c r="AS36" s="86"/>
      <c r="AT36" s="87"/>
      <c r="AU36" s="86"/>
      <c r="AV36" s="87"/>
      <c r="AW36" s="86"/>
      <c r="AX36" s="87"/>
      <c r="AY36" s="86"/>
    </row>
    <row r="37" spans="1:51" ht="11.25">
      <c r="A37" s="138">
        <v>46</v>
      </c>
      <c r="B37" s="139">
        <v>20</v>
      </c>
      <c r="C37" s="140">
        <v>30</v>
      </c>
      <c r="D37" s="141">
        <v>35</v>
      </c>
      <c r="E37" s="140">
        <v>35</v>
      </c>
      <c r="F37" s="141">
        <v>35</v>
      </c>
      <c r="G37" s="140">
        <v>35</v>
      </c>
      <c r="H37" s="141">
        <v>35</v>
      </c>
      <c r="I37" s="140">
        <v>35</v>
      </c>
      <c r="J37" s="141">
        <v>235</v>
      </c>
      <c r="K37" s="140">
        <v>35</v>
      </c>
      <c r="L37" s="141">
        <v>35</v>
      </c>
      <c r="M37" s="140">
        <v>35</v>
      </c>
      <c r="N37" s="141">
        <v>35</v>
      </c>
      <c r="O37" s="140">
        <v>35</v>
      </c>
      <c r="P37" s="141">
        <v>35</v>
      </c>
      <c r="Q37" s="140">
        <v>35</v>
      </c>
      <c r="R37" s="141">
        <v>35</v>
      </c>
      <c r="S37" s="140">
        <v>35</v>
      </c>
      <c r="T37" s="141">
        <f>Tabel_basisrecht!T37+Tabel_overgangsrecht!T37</f>
        <v>0</v>
      </c>
      <c r="U37" s="140"/>
      <c r="V37" s="211"/>
      <c r="W37" s="200"/>
      <c r="X37" s="87"/>
      <c r="Y37" s="86"/>
      <c r="Z37" s="87"/>
      <c r="AA37" s="86"/>
      <c r="AB37" s="87"/>
      <c r="AC37" s="86"/>
      <c r="AD37" s="87"/>
      <c r="AE37" s="86"/>
      <c r="AF37" s="87"/>
      <c r="AG37" s="86"/>
      <c r="AH37" s="87"/>
      <c r="AI37" s="86"/>
      <c r="AJ37" s="87"/>
      <c r="AK37" s="86"/>
      <c r="AL37" s="87"/>
      <c r="AM37" s="86"/>
      <c r="AN37" s="87"/>
      <c r="AO37" s="86"/>
      <c r="AP37" s="87"/>
      <c r="AQ37" s="86"/>
      <c r="AR37" s="87"/>
      <c r="AS37" s="86"/>
      <c r="AT37" s="87"/>
      <c r="AU37" s="86"/>
      <c r="AV37" s="87"/>
      <c r="AW37" s="86"/>
      <c r="AX37" s="87"/>
      <c r="AY37" s="86"/>
    </row>
    <row r="38" spans="1:51" ht="11.25">
      <c r="A38" s="138">
        <v>47</v>
      </c>
      <c r="B38" s="139">
        <v>20</v>
      </c>
      <c r="C38" s="140">
        <v>30</v>
      </c>
      <c r="D38" s="141">
        <v>35</v>
      </c>
      <c r="E38" s="140">
        <v>35</v>
      </c>
      <c r="F38" s="141">
        <v>35</v>
      </c>
      <c r="G38" s="140">
        <v>35</v>
      </c>
      <c r="H38" s="141">
        <v>35</v>
      </c>
      <c r="I38" s="140">
        <v>235</v>
      </c>
      <c r="J38" s="141">
        <v>35</v>
      </c>
      <c r="K38" s="140">
        <v>35</v>
      </c>
      <c r="L38" s="141">
        <v>35</v>
      </c>
      <c r="M38" s="140">
        <v>35</v>
      </c>
      <c r="N38" s="141">
        <v>35</v>
      </c>
      <c r="O38" s="140">
        <v>35</v>
      </c>
      <c r="P38" s="141">
        <v>35</v>
      </c>
      <c r="Q38" s="140">
        <v>35</v>
      </c>
      <c r="R38" s="141">
        <v>35</v>
      </c>
      <c r="S38" s="140">
        <f>Tabel_basisrecht!S38+Tabel_overgangsrecht!S38</f>
        <v>0</v>
      </c>
      <c r="T38" s="141"/>
      <c r="U38" s="140"/>
      <c r="V38" s="211"/>
      <c r="W38" s="200"/>
      <c r="X38" s="87"/>
      <c r="Y38" s="86"/>
      <c r="Z38" s="87"/>
      <c r="AA38" s="86"/>
      <c r="AB38" s="87"/>
      <c r="AC38" s="86"/>
      <c r="AD38" s="87"/>
      <c r="AE38" s="86"/>
      <c r="AF38" s="87"/>
      <c r="AG38" s="86"/>
      <c r="AH38" s="87"/>
      <c r="AI38" s="86"/>
      <c r="AJ38" s="87"/>
      <c r="AK38" s="86"/>
      <c r="AL38" s="87"/>
      <c r="AM38" s="86"/>
      <c r="AN38" s="87"/>
      <c r="AO38" s="86"/>
      <c r="AP38" s="87"/>
      <c r="AQ38" s="86"/>
      <c r="AR38" s="87"/>
      <c r="AS38" s="86"/>
      <c r="AT38" s="87"/>
      <c r="AU38" s="86"/>
      <c r="AV38" s="87"/>
      <c r="AW38" s="86"/>
      <c r="AX38" s="87"/>
      <c r="AY38" s="86"/>
    </row>
    <row r="39" spans="1:51" ht="11.25">
      <c r="A39" s="138">
        <v>48</v>
      </c>
      <c r="B39" s="139">
        <v>20</v>
      </c>
      <c r="C39" s="140">
        <v>30</v>
      </c>
      <c r="D39" s="141">
        <v>35</v>
      </c>
      <c r="E39" s="140">
        <v>35</v>
      </c>
      <c r="F39" s="141">
        <v>35</v>
      </c>
      <c r="G39" s="140">
        <v>35</v>
      </c>
      <c r="H39" s="141">
        <v>235</v>
      </c>
      <c r="I39" s="140">
        <v>35</v>
      </c>
      <c r="J39" s="141">
        <v>35</v>
      </c>
      <c r="K39" s="140">
        <v>35</v>
      </c>
      <c r="L39" s="141">
        <v>35</v>
      </c>
      <c r="M39" s="140">
        <v>35</v>
      </c>
      <c r="N39" s="141">
        <v>35</v>
      </c>
      <c r="O39" s="140">
        <v>35</v>
      </c>
      <c r="P39" s="141">
        <v>35</v>
      </c>
      <c r="Q39" s="140">
        <v>35</v>
      </c>
      <c r="R39" s="141">
        <f>Tabel_basisrecht!R39+Tabel_overgangsrecht!R39</f>
        <v>0</v>
      </c>
      <c r="S39" s="140"/>
      <c r="T39" s="141"/>
      <c r="U39" s="140"/>
      <c r="V39" s="211"/>
      <c r="W39" s="200"/>
      <c r="X39" s="87"/>
      <c r="Y39" s="86"/>
      <c r="Z39" s="87"/>
      <c r="AA39" s="86"/>
      <c r="AB39" s="87"/>
      <c r="AC39" s="86"/>
      <c r="AD39" s="87"/>
      <c r="AE39" s="86"/>
      <c r="AF39" s="87"/>
      <c r="AG39" s="86"/>
      <c r="AH39" s="87"/>
      <c r="AI39" s="86"/>
      <c r="AJ39" s="87"/>
      <c r="AK39" s="86"/>
      <c r="AL39" s="87"/>
      <c r="AM39" s="86"/>
      <c r="AN39" s="87"/>
      <c r="AO39" s="86"/>
      <c r="AP39" s="87"/>
      <c r="AQ39" s="86"/>
      <c r="AR39" s="87"/>
      <c r="AS39" s="86"/>
      <c r="AT39" s="87"/>
      <c r="AU39" s="86"/>
      <c r="AV39" s="87"/>
      <c r="AW39" s="86"/>
      <c r="AX39" s="87"/>
      <c r="AY39" s="86"/>
    </row>
    <row r="40" spans="1:51" ht="11.25">
      <c r="A40" s="138">
        <v>49</v>
      </c>
      <c r="B40" s="139">
        <v>20</v>
      </c>
      <c r="C40" s="140">
        <v>30</v>
      </c>
      <c r="D40" s="141">
        <v>35</v>
      </c>
      <c r="E40" s="140">
        <v>35</v>
      </c>
      <c r="F40" s="254">
        <v>35</v>
      </c>
      <c r="G40" s="140">
        <v>235</v>
      </c>
      <c r="H40" s="141">
        <v>35</v>
      </c>
      <c r="I40" s="140">
        <v>35</v>
      </c>
      <c r="J40" s="141">
        <v>35</v>
      </c>
      <c r="K40" s="140">
        <v>35</v>
      </c>
      <c r="L40" s="141">
        <v>35</v>
      </c>
      <c r="M40" s="140">
        <v>35</v>
      </c>
      <c r="N40" s="141">
        <v>35</v>
      </c>
      <c r="O40" s="140">
        <v>35</v>
      </c>
      <c r="P40" s="141">
        <v>35</v>
      </c>
      <c r="Q40" s="140">
        <f>Tabel_basisrecht!Q40+Tabel_overgangsrecht!Q40</f>
        <v>0</v>
      </c>
      <c r="R40" s="141"/>
      <c r="S40" s="140"/>
      <c r="T40" s="141"/>
      <c r="U40" s="140"/>
      <c r="V40" s="211"/>
      <c r="W40" s="200"/>
      <c r="X40" s="87"/>
      <c r="Y40" s="86"/>
      <c r="Z40" s="87"/>
      <c r="AA40" s="86"/>
      <c r="AB40" s="87"/>
      <c r="AC40" s="86"/>
      <c r="AD40" s="87"/>
      <c r="AE40" s="86"/>
      <c r="AF40" s="87"/>
      <c r="AG40" s="86"/>
      <c r="AH40" s="87"/>
      <c r="AI40" s="86"/>
      <c r="AJ40" s="87"/>
      <c r="AK40" s="86"/>
      <c r="AL40" s="87"/>
      <c r="AM40" s="86"/>
      <c r="AN40" s="87"/>
      <c r="AO40" s="86"/>
      <c r="AP40" s="87"/>
      <c r="AQ40" s="86"/>
      <c r="AR40" s="87"/>
      <c r="AS40" s="86"/>
      <c r="AT40" s="87"/>
      <c r="AU40" s="86"/>
      <c r="AV40" s="87"/>
      <c r="AW40" s="86"/>
      <c r="AX40" s="87"/>
      <c r="AY40" s="86"/>
    </row>
    <row r="41" spans="1:51" ht="11.25">
      <c r="A41" s="138">
        <v>50</v>
      </c>
      <c r="B41" s="139">
        <v>30</v>
      </c>
      <c r="C41" s="140">
        <v>30</v>
      </c>
      <c r="D41" s="141">
        <v>35</v>
      </c>
      <c r="E41" s="253">
        <v>35</v>
      </c>
      <c r="F41" s="249">
        <f>Tabel_basisrecht!F41+Tabel_overgangsrecht!F41</f>
        <v>115</v>
      </c>
      <c r="G41" s="248">
        <v>80</v>
      </c>
      <c r="H41" s="141">
        <v>80</v>
      </c>
      <c r="I41" s="140">
        <v>80</v>
      </c>
      <c r="J41" s="141">
        <v>80</v>
      </c>
      <c r="K41" s="140">
        <v>80</v>
      </c>
      <c r="L41" s="141">
        <v>80</v>
      </c>
      <c r="M41" s="140">
        <v>80</v>
      </c>
      <c r="N41" s="141">
        <v>80</v>
      </c>
      <c r="O41" s="140">
        <v>80</v>
      </c>
      <c r="P41" s="141">
        <f>Tabel_basisrecht!P41+Tabel_overgangsrecht!P41</f>
        <v>0</v>
      </c>
      <c r="Q41" s="140"/>
      <c r="R41" s="141"/>
      <c r="S41" s="140"/>
      <c r="T41" s="141"/>
      <c r="U41" s="140"/>
      <c r="V41" s="211"/>
      <c r="W41" s="200"/>
      <c r="X41" s="87"/>
      <c r="Y41" s="86"/>
      <c r="Z41" s="87"/>
      <c r="AA41" s="86"/>
      <c r="AB41" s="87"/>
      <c r="AC41" s="86"/>
      <c r="AD41" s="87"/>
      <c r="AE41" s="86"/>
      <c r="AF41" s="87"/>
      <c r="AG41" s="86"/>
      <c r="AH41" s="87"/>
      <c r="AI41" s="86"/>
      <c r="AJ41" s="87"/>
      <c r="AK41" s="86"/>
      <c r="AL41" s="87"/>
      <c r="AM41" s="86"/>
      <c r="AN41" s="87"/>
      <c r="AO41" s="86"/>
      <c r="AP41" s="87"/>
      <c r="AQ41" s="86"/>
      <c r="AR41" s="87"/>
      <c r="AS41" s="86"/>
      <c r="AT41" s="87"/>
      <c r="AU41" s="86"/>
      <c r="AV41" s="87"/>
      <c r="AW41" s="86"/>
      <c r="AX41" s="87"/>
      <c r="AY41" s="86"/>
    </row>
    <row r="42" spans="1:51" ht="11.25">
      <c r="A42" s="138">
        <v>51</v>
      </c>
      <c r="B42" s="139">
        <v>30</v>
      </c>
      <c r="C42" s="140">
        <v>30</v>
      </c>
      <c r="D42" s="255">
        <v>35</v>
      </c>
      <c r="E42" s="252">
        <f>Tabel_basisrecht!E42+Tabel_overgangsrecht!E42</f>
        <v>135</v>
      </c>
      <c r="F42" s="134">
        <v>100</v>
      </c>
      <c r="G42" s="140">
        <v>100</v>
      </c>
      <c r="H42" s="141">
        <v>100</v>
      </c>
      <c r="I42" s="140">
        <v>100</v>
      </c>
      <c r="J42" s="141">
        <v>100</v>
      </c>
      <c r="K42" s="140">
        <v>100</v>
      </c>
      <c r="L42" s="141">
        <v>100</v>
      </c>
      <c r="M42" s="140">
        <v>100</v>
      </c>
      <c r="N42" s="141">
        <v>100</v>
      </c>
      <c r="O42" s="140">
        <f>Tabel_basisrecht!O42+Tabel_overgangsrecht!O42</f>
        <v>0</v>
      </c>
      <c r="P42" s="141"/>
      <c r="Q42" s="140"/>
      <c r="R42" s="141"/>
      <c r="S42" s="140"/>
      <c r="T42" s="141"/>
      <c r="U42" s="140"/>
      <c r="V42" s="211"/>
      <c r="W42" s="200"/>
      <c r="X42" s="87"/>
      <c r="Y42" s="86"/>
      <c r="Z42" s="87"/>
      <c r="AA42" s="86"/>
      <c r="AB42" s="87"/>
      <c r="AC42" s="86"/>
      <c r="AD42" s="87"/>
      <c r="AE42" s="86"/>
      <c r="AF42" s="87"/>
      <c r="AG42" s="86"/>
      <c r="AH42" s="87"/>
      <c r="AI42" s="86"/>
      <c r="AJ42" s="87"/>
      <c r="AK42" s="86"/>
      <c r="AL42" s="87"/>
      <c r="AM42" s="86"/>
      <c r="AN42" s="87"/>
      <c r="AO42" s="86"/>
      <c r="AP42" s="87"/>
      <c r="AQ42" s="86"/>
      <c r="AR42" s="87"/>
      <c r="AS42" s="86"/>
      <c r="AT42" s="87"/>
      <c r="AU42" s="86"/>
      <c r="AV42" s="87"/>
      <c r="AW42" s="86"/>
      <c r="AX42" s="87"/>
      <c r="AY42" s="86"/>
    </row>
    <row r="43" spans="1:51" ht="11.25">
      <c r="A43" s="138">
        <v>52</v>
      </c>
      <c r="B43" s="139">
        <v>30</v>
      </c>
      <c r="C43" s="253">
        <v>30</v>
      </c>
      <c r="D43" s="249">
        <f>Tabel_basisrecht!D43+Tabel_overgangsrecht!D43</f>
        <v>155</v>
      </c>
      <c r="E43" s="251">
        <v>120</v>
      </c>
      <c r="F43" s="141">
        <v>120</v>
      </c>
      <c r="G43" s="140">
        <v>120</v>
      </c>
      <c r="H43" s="141">
        <v>120</v>
      </c>
      <c r="I43" s="140">
        <v>120</v>
      </c>
      <c r="J43" s="141">
        <v>120</v>
      </c>
      <c r="K43" s="140">
        <v>120</v>
      </c>
      <c r="L43" s="141">
        <v>120</v>
      </c>
      <c r="M43" s="140">
        <v>120</v>
      </c>
      <c r="N43" s="141">
        <f>Tabel_basisrecht!N43+Tabel_overgangsrecht!N43</f>
        <v>0</v>
      </c>
      <c r="O43" s="140"/>
      <c r="P43" s="141"/>
      <c r="Q43" s="140"/>
      <c r="R43" s="141"/>
      <c r="S43" s="140"/>
      <c r="T43" s="141"/>
      <c r="U43" s="140"/>
      <c r="V43" s="211"/>
      <c r="W43" s="200"/>
      <c r="X43" s="87"/>
      <c r="Y43" s="86"/>
      <c r="Z43" s="87"/>
      <c r="AA43" s="86"/>
      <c r="AB43" s="87"/>
      <c r="AC43" s="86"/>
      <c r="AD43" s="87"/>
      <c r="AE43" s="86"/>
      <c r="AF43" s="87"/>
      <c r="AG43" s="86"/>
      <c r="AH43" s="87"/>
      <c r="AI43" s="86"/>
      <c r="AJ43" s="87"/>
      <c r="AK43" s="86"/>
      <c r="AL43" s="87"/>
      <c r="AM43" s="86"/>
      <c r="AN43" s="87"/>
      <c r="AO43" s="86"/>
      <c r="AP43" s="87"/>
      <c r="AQ43" s="86"/>
      <c r="AR43" s="87"/>
      <c r="AS43" s="86"/>
      <c r="AT43" s="87"/>
      <c r="AU43" s="86"/>
      <c r="AV43" s="87"/>
      <c r="AW43" s="86"/>
      <c r="AX43" s="87"/>
      <c r="AY43" s="86"/>
    </row>
    <row r="44" spans="1:51" ht="11.25">
      <c r="A44" s="138">
        <v>53</v>
      </c>
      <c r="B44" s="250">
        <v>30</v>
      </c>
      <c r="C44" s="252">
        <f>Tabel_basisrecht!C44+Tabel_overgangsrecht!C44</f>
        <v>165</v>
      </c>
      <c r="D44" s="134">
        <v>135</v>
      </c>
      <c r="E44" s="140">
        <v>135</v>
      </c>
      <c r="F44" s="141">
        <v>135</v>
      </c>
      <c r="G44" s="140">
        <v>135</v>
      </c>
      <c r="H44" s="141">
        <v>135</v>
      </c>
      <c r="I44" s="140">
        <v>135</v>
      </c>
      <c r="J44" s="141">
        <v>135</v>
      </c>
      <c r="K44" s="140">
        <v>135</v>
      </c>
      <c r="L44" s="141">
        <v>135</v>
      </c>
      <c r="M44" s="140">
        <f>Tabel_basisrecht!M44+Tabel_overgangsrecht!M44</f>
        <v>0</v>
      </c>
      <c r="N44" s="141"/>
      <c r="O44" s="140"/>
      <c r="P44" s="141"/>
      <c r="Q44" s="140"/>
      <c r="R44" s="141"/>
      <c r="S44" s="140"/>
      <c r="T44" s="141"/>
      <c r="U44" s="140"/>
      <c r="V44" s="211"/>
      <c r="W44" s="200"/>
      <c r="X44" s="87"/>
      <c r="Y44" s="86"/>
      <c r="Z44" s="87"/>
      <c r="AA44" s="86"/>
      <c r="AB44" s="87"/>
      <c r="AC44" s="86"/>
      <c r="AD44" s="87"/>
      <c r="AE44" s="86"/>
      <c r="AF44" s="87"/>
      <c r="AG44" s="86"/>
      <c r="AH44" s="87"/>
      <c r="AI44" s="86"/>
      <c r="AJ44" s="87"/>
      <c r="AK44" s="86"/>
      <c r="AL44" s="87"/>
      <c r="AM44" s="86"/>
      <c r="AN44" s="87"/>
      <c r="AO44" s="86"/>
      <c r="AP44" s="87"/>
      <c r="AQ44" s="86"/>
      <c r="AR44" s="87"/>
      <c r="AS44" s="86"/>
      <c r="AT44" s="87"/>
      <c r="AU44" s="86"/>
      <c r="AV44" s="87"/>
      <c r="AW44" s="86"/>
      <c r="AX44" s="87"/>
      <c r="AY44" s="86"/>
    </row>
    <row r="45" spans="1:51" ht="11.25">
      <c r="A45" s="247">
        <v>54</v>
      </c>
      <c r="B45" s="249">
        <f>Tabel_basisrecht!B45+Tabel_overgangsrecht!B45</f>
        <v>170</v>
      </c>
      <c r="C45" s="251">
        <v>150</v>
      </c>
      <c r="D45" s="141">
        <v>150</v>
      </c>
      <c r="E45" s="140">
        <v>150</v>
      </c>
      <c r="F45" s="141">
        <v>150</v>
      </c>
      <c r="G45" s="140">
        <v>150</v>
      </c>
      <c r="H45" s="141">
        <v>150</v>
      </c>
      <c r="I45" s="140">
        <v>150</v>
      </c>
      <c r="J45" s="141">
        <v>150</v>
      </c>
      <c r="K45" s="140">
        <v>150</v>
      </c>
      <c r="L45" s="141">
        <f>Tabel_basisrecht!L45+Tabel_overgangsrecht!L45</f>
        <v>0</v>
      </c>
      <c r="M45" s="140"/>
      <c r="N45" s="141"/>
      <c r="O45" s="140"/>
      <c r="P45" s="141"/>
      <c r="Q45" s="140"/>
      <c r="R45" s="141"/>
      <c r="S45" s="140"/>
      <c r="T45" s="141"/>
      <c r="U45" s="140"/>
      <c r="V45" s="211"/>
      <c r="W45" s="200"/>
      <c r="X45" s="87"/>
      <c r="Y45" s="86"/>
      <c r="Z45" s="87"/>
      <c r="AA45" s="86"/>
      <c r="AB45" s="87"/>
      <c r="AC45" s="86"/>
      <c r="AD45" s="87"/>
      <c r="AE45" s="86"/>
      <c r="AF45" s="87"/>
      <c r="AG45" s="86"/>
      <c r="AH45" s="87"/>
      <c r="AI45" s="86"/>
      <c r="AJ45" s="87"/>
      <c r="AK45" s="86"/>
      <c r="AL45" s="87"/>
      <c r="AM45" s="86"/>
      <c r="AN45" s="87"/>
      <c r="AO45" s="86"/>
      <c r="AP45" s="87"/>
      <c r="AQ45" s="86"/>
      <c r="AR45" s="87"/>
      <c r="AS45" s="86"/>
      <c r="AT45" s="87"/>
      <c r="AU45" s="86"/>
      <c r="AV45" s="87"/>
      <c r="AW45" s="86"/>
      <c r="AX45" s="87"/>
      <c r="AY45" s="86"/>
    </row>
    <row r="46" spans="1:51" ht="11.25">
      <c r="A46" s="138">
        <v>55</v>
      </c>
      <c r="B46" s="134">
        <v>165</v>
      </c>
      <c r="C46" s="140">
        <v>165</v>
      </c>
      <c r="D46" s="141">
        <v>165</v>
      </c>
      <c r="E46" s="140">
        <v>165</v>
      </c>
      <c r="F46" s="141">
        <v>165</v>
      </c>
      <c r="G46" s="140">
        <v>165</v>
      </c>
      <c r="H46" s="141">
        <v>165</v>
      </c>
      <c r="I46" s="140">
        <v>165</v>
      </c>
      <c r="J46" s="141">
        <v>165</v>
      </c>
      <c r="K46" s="140">
        <f>Tabel_basisrecht!K46+Tabel_overgangsrecht!K46</f>
        <v>0</v>
      </c>
      <c r="L46" s="141"/>
      <c r="M46" s="140"/>
      <c r="N46" s="141"/>
      <c r="O46" s="140"/>
      <c r="P46" s="141"/>
      <c r="Q46" s="140"/>
      <c r="R46" s="141"/>
      <c r="S46" s="140"/>
      <c r="T46" s="141"/>
      <c r="U46" s="140"/>
      <c r="V46" s="211"/>
      <c r="W46" s="200"/>
      <c r="X46" s="87"/>
      <c r="Y46" s="86"/>
      <c r="Z46" s="87"/>
      <c r="AA46" s="86"/>
      <c r="AB46" s="87"/>
      <c r="AC46" s="86"/>
      <c r="AD46" s="87"/>
      <c r="AE46" s="86"/>
      <c r="AF46" s="87"/>
      <c r="AG46" s="86"/>
      <c r="AH46" s="87"/>
      <c r="AI46" s="86"/>
      <c r="AJ46" s="87"/>
      <c r="AK46" s="86"/>
      <c r="AL46" s="87"/>
      <c r="AM46" s="86"/>
      <c r="AN46" s="87"/>
      <c r="AO46" s="86"/>
      <c r="AP46" s="87"/>
      <c r="AQ46" s="86"/>
      <c r="AR46" s="87"/>
      <c r="AS46" s="86"/>
      <c r="AT46" s="87"/>
      <c r="AU46" s="86"/>
      <c r="AV46" s="87"/>
      <c r="AW46" s="86"/>
      <c r="AX46" s="87"/>
      <c r="AY46" s="86"/>
    </row>
    <row r="47" spans="1:51" ht="11.25">
      <c r="A47" s="138">
        <v>56</v>
      </c>
      <c r="B47" s="139">
        <v>165</v>
      </c>
      <c r="C47" s="140">
        <v>165</v>
      </c>
      <c r="D47" s="141">
        <v>165</v>
      </c>
      <c r="E47" s="140">
        <v>165</v>
      </c>
      <c r="F47" s="141">
        <v>165</v>
      </c>
      <c r="G47" s="140">
        <v>165</v>
      </c>
      <c r="H47" s="141">
        <v>165</v>
      </c>
      <c r="I47" s="140">
        <v>165</v>
      </c>
      <c r="J47" s="141">
        <f>Tabel_basisrecht!J47+Tabel_overgangsrecht!J47</f>
        <v>0</v>
      </c>
      <c r="K47" s="140"/>
      <c r="L47" s="141"/>
      <c r="M47" s="140"/>
      <c r="N47" s="141"/>
      <c r="O47" s="140"/>
      <c r="P47" s="141"/>
      <c r="Q47" s="140"/>
      <c r="R47" s="141"/>
      <c r="S47" s="140"/>
      <c r="T47" s="141"/>
      <c r="U47" s="140"/>
      <c r="V47" s="211"/>
      <c r="W47" s="200"/>
      <c r="X47" s="87"/>
      <c r="Y47" s="86"/>
      <c r="Z47" s="87"/>
      <c r="AA47" s="86"/>
      <c r="AB47" s="87"/>
      <c r="AC47" s="86"/>
      <c r="AD47" s="87"/>
      <c r="AE47" s="86"/>
      <c r="AF47" s="87"/>
      <c r="AG47" s="86"/>
      <c r="AH47" s="87"/>
      <c r="AI47" s="86"/>
      <c r="AJ47" s="87"/>
      <c r="AK47" s="86"/>
      <c r="AL47" s="87"/>
      <c r="AM47" s="86"/>
      <c r="AN47" s="87"/>
      <c r="AO47" s="86"/>
      <c r="AP47" s="87"/>
      <c r="AQ47" s="86"/>
      <c r="AR47" s="87"/>
      <c r="AS47" s="86"/>
      <c r="AT47" s="87"/>
      <c r="AU47" s="86"/>
      <c r="AV47" s="87"/>
      <c r="AW47" s="86"/>
      <c r="AX47" s="87"/>
      <c r="AY47" s="86"/>
    </row>
    <row r="48" spans="1:51" ht="11.25">
      <c r="A48" s="138">
        <v>57</v>
      </c>
      <c r="B48" s="139">
        <v>165</v>
      </c>
      <c r="C48" s="140">
        <v>165</v>
      </c>
      <c r="D48" s="141">
        <v>165</v>
      </c>
      <c r="E48" s="140">
        <v>165</v>
      </c>
      <c r="F48" s="141">
        <v>165</v>
      </c>
      <c r="G48" s="140">
        <v>165</v>
      </c>
      <c r="H48" s="141">
        <v>165</v>
      </c>
      <c r="I48" s="140">
        <f>Tabel_basisrecht!I48+Tabel_overgangsrecht!I48</f>
        <v>0</v>
      </c>
      <c r="J48" s="141"/>
      <c r="K48" s="140"/>
      <c r="L48" s="141"/>
      <c r="M48" s="140"/>
      <c r="N48" s="141"/>
      <c r="O48" s="140"/>
      <c r="P48" s="141"/>
      <c r="Q48" s="140"/>
      <c r="R48" s="141"/>
      <c r="S48" s="140"/>
      <c r="T48" s="141"/>
      <c r="U48" s="140"/>
      <c r="V48" s="211"/>
      <c r="W48" s="200"/>
      <c r="X48" s="87"/>
      <c r="Y48" s="86"/>
      <c r="Z48" s="87"/>
      <c r="AA48" s="86"/>
      <c r="AB48" s="87"/>
      <c r="AC48" s="86"/>
      <c r="AD48" s="87"/>
      <c r="AE48" s="86"/>
      <c r="AF48" s="87"/>
      <c r="AG48" s="86"/>
      <c r="AH48" s="87"/>
      <c r="AI48" s="86"/>
      <c r="AJ48" s="87"/>
      <c r="AK48" s="86"/>
      <c r="AL48" s="87"/>
      <c r="AM48" s="86"/>
      <c r="AN48" s="87"/>
      <c r="AO48" s="86"/>
      <c r="AP48" s="87"/>
      <c r="AQ48" s="86"/>
      <c r="AR48" s="87"/>
      <c r="AS48" s="86"/>
      <c r="AT48" s="87"/>
      <c r="AU48" s="86"/>
      <c r="AV48" s="87"/>
      <c r="AW48" s="86"/>
      <c r="AX48" s="87"/>
      <c r="AY48" s="86"/>
    </row>
    <row r="49" spans="1:51" ht="11.25">
      <c r="A49" s="138">
        <v>58</v>
      </c>
      <c r="B49" s="139">
        <v>165</v>
      </c>
      <c r="C49" s="140">
        <v>165</v>
      </c>
      <c r="D49" s="141">
        <v>165</v>
      </c>
      <c r="E49" s="140">
        <v>165</v>
      </c>
      <c r="F49" s="141">
        <v>165</v>
      </c>
      <c r="G49" s="140">
        <v>165</v>
      </c>
      <c r="H49" s="141">
        <f>Tabel_basisrecht!H49+Tabel_overgangsrecht!H49</f>
        <v>0</v>
      </c>
      <c r="I49" s="140"/>
      <c r="J49" s="141"/>
      <c r="K49" s="140"/>
      <c r="L49" s="141"/>
      <c r="M49" s="140"/>
      <c r="N49" s="141"/>
      <c r="O49" s="140"/>
      <c r="P49" s="141"/>
      <c r="Q49" s="140"/>
      <c r="R49" s="141"/>
      <c r="S49" s="140"/>
      <c r="T49" s="141"/>
      <c r="U49" s="140"/>
      <c r="V49" s="211"/>
      <c r="W49" s="200"/>
      <c r="X49" s="87"/>
      <c r="Y49" s="86"/>
      <c r="Z49" s="87"/>
      <c r="AA49" s="86"/>
      <c r="AB49" s="87"/>
      <c r="AC49" s="86"/>
      <c r="AD49" s="87"/>
      <c r="AE49" s="86"/>
      <c r="AF49" s="87"/>
      <c r="AG49" s="86"/>
      <c r="AH49" s="87"/>
      <c r="AI49" s="86"/>
      <c r="AJ49" s="87"/>
      <c r="AK49" s="86"/>
      <c r="AL49" s="87"/>
      <c r="AM49" s="86"/>
      <c r="AN49" s="87"/>
      <c r="AO49" s="86"/>
      <c r="AP49" s="87"/>
      <c r="AQ49" s="86"/>
      <c r="AR49" s="87"/>
      <c r="AS49" s="86"/>
      <c r="AT49" s="87"/>
      <c r="AU49" s="86"/>
      <c r="AV49" s="87"/>
      <c r="AW49" s="86"/>
      <c r="AX49" s="87"/>
      <c r="AY49" s="86"/>
    </row>
    <row r="50" spans="1:51" ht="11.25">
      <c r="A50" s="138">
        <v>59</v>
      </c>
      <c r="B50" s="139">
        <v>165</v>
      </c>
      <c r="C50" s="140">
        <v>165</v>
      </c>
      <c r="D50" s="141">
        <v>165</v>
      </c>
      <c r="E50" s="140">
        <v>165</v>
      </c>
      <c r="F50" s="141">
        <v>165</v>
      </c>
      <c r="G50" s="140">
        <f>Tabel_basisrecht!G50+Tabel_overgangsrecht!G50</f>
        <v>0</v>
      </c>
      <c r="H50" s="141"/>
      <c r="I50" s="140"/>
      <c r="J50" s="141"/>
      <c r="K50" s="140"/>
      <c r="L50" s="141"/>
      <c r="M50" s="140"/>
      <c r="N50" s="141"/>
      <c r="O50" s="140"/>
      <c r="P50" s="141"/>
      <c r="Q50" s="140"/>
      <c r="R50" s="141"/>
      <c r="S50" s="140"/>
      <c r="T50" s="141"/>
      <c r="U50" s="140"/>
      <c r="V50" s="211"/>
      <c r="W50" s="200"/>
      <c r="X50" s="87"/>
      <c r="Y50" s="86"/>
      <c r="Z50" s="87"/>
      <c r="AA50" s="86"/>
      <c r="AB50" s="87"/>
      <c r="AC50" s="86"/>
      <c r="AD50" s="87"/>
      <c r="AE50" s="86"/>
      <c r="AF50" s="87"/>
      <c r="AG50" s="86"/>
      <c r="AH50" s="87"/>
      <c r="AI50" s="86"/>
      <c r="AJ50" s="87"/>
      <c r="AK50" s="86"/>
      <c r="AL50" s="87"/>
      <c r="AM50" s="86"/>
      <c r="AN50" s="87"/>
      <c r="AO50" s="86"/>
      <c r="AP50" s="87"/>
      <c r="AQ50" s="86"/>
      <c r="AR50" s="87"/>
      <c r="AS50" s="86"/>
      <c r="AT50" s="87"/>
      <c r="AU50" s="86"/>
      <c r="AV50" s="87"/>
      <c r="AW50" s="86"/>
      <c r="AX50" s="87"/>
      <c r="AY50" s="86"/>
    </row>
    <row r="51" spans="1:51" ht="11.25">
      <c r="A51" s="138">
        <v>60</v>
      </c>
      <c r="B51" s="139">
        <v>180</v>
      </c>
      <c r="C51" s="140">
        <v>180</v>
      </c>
      <c r="D51" s="141">
        <v>180</v>
      </c>
      <c r="E51" s="140">
        <v>180</v>
      </c>
      <c r="F51" s="141">
        <f>Tabel_basisrecht!F51+Tabel_overgangsrecht!F51</f>
        <v>0</v>
      </c>
      <c r="G51" s="140"/>
      <c r="H51" s="141"/>
      <c r="I51" s="140"/>
      <c r="J51" s="141"/>
      <c r="K51" s="140"/>
      <c r="L51" s="141"/>
      <c r="M51" s="140"/>
      <c r="N51" s="141"/>
      <c r="O51" s="140"/>
      <c r="P51" s="141"/>
      <c r="Q51" s="140"/>
      <c r="R51" s="141"/>
      <c r="S51" s="140"/>
      <c r="T51" s="141"/>
      <c r="U51" s="140"/>
      <c r="V51" s="211"/>
      <c r="W51" s="200"/>
      <c r="X51" s="87"/>
      <c r="Y51" s="86"/>
      <c r="Z51" s="87"/>
      <c r="AA51" s="86"/>
      <c r="AB51" s="87"/>
      <c r="AC51" s="86"/>
      <c r="AD51" s="87"/>
      <c r="AE51" s="86"/>
      <c r="AF51" s="87"/>
      <c r="AG51" s="86"/>
      <c r="AH51" s="87"/>
      <c r="AI51" s="86"/>
      <c r="AJ51" s="87"/>
      <c r="AK51" s="86"/>
      <c r="AL51" s="87"/>
      <c r="AM51" s="86"/>
      <c r="AN51" s="87"/>
      <c r="AO51" s="86"/>
      <c r="AP51" s="87"/>
      <c r="AQ51" s="86"/>
      <c r="AR51" s="87"/>
      <c r="AS51" s="86"/>
      <c r="AT51" s="87"/>
      <c r="AU51" s="86"/>
      <c r="AV51" s="87"/>
      <c r="AW51" s="86"/>
      <c r="AX51" s="87"/>
      <c r="AY51" s="86"/>
    </row>
    <row r="52" spans="1:51" ht="11.25">
      <c r="A52" s="138">
        <v>61</v>
      </c>
      <c r="B52" s="139">
        <v>180</v>
      </c>
      <c r="C52" s="140">
        <v>180</v>
      </c>
      <c r="D52" s="141">
        <v>180</v>
      </c>
      <c r="E52" s="140">
        <f>Tabel_basisrecht!E52+Tabel_overgangsrecht!E52</f>
        <v>0</v>
      </c>
      <c r="F52" s="141"/>
      <c r="G52" s="140"/>
      <c r="H52" s="141"/>
      <c r="I52" s="140"/>
      <c r="J52" s="141"/>
      <c r="K52" s="140"/>
      <c r="L52" s="141"/>
      <c r="M52" s="140"/>
      <c r="N52" s="141"/>
      <c r="O52" s="140"/>
      <c r="P52" s="141"/>
      <c r="Q52" s="140"/>
      <c r="R52" s="141"/>
      <c r="S52" s="140"/>
      <c r="T52" s="141"/>
      <c r="U52" s="140"/>
      <c r="V52" s="211"/>
      <c r="W52" s="200"/>
      <c r="X52" s="87"/>
      <c r="Y52" s="86"/>
      <c r="Z52" s="87"/>
      <c r="AA52" s="86"/>
      <c r="AB52" s="87"/>
      <c r="AC52" s="86"/>
      <c r="AD52" s="87"/>
      <c r="AE52" s="86"/>
      <c r="AF52" s="87"/>
      <c r="AG52" s="86"/>
      <c r="AH52" s="87"/>
      <c r="AI52" s="86"/>
      <c r="AJ52" s="87"/>
      <c r="AK52" s="86"/>
      <c r="AL52" s="87"/>
      <c r="AM52" s="86"/>
      <c r="AN52" s="87"/>
      <c r="AO52" s="86"/>
      <c r="AP52" s="87"/>
      <c r="AQ52" s="86"/>
      <c r="AR52" s="87"/>
      <c r="AS52" s="86"/>
      <c r="AT52" s="87"/>
      <c r="AU52" s="86"/>
      <c r="AV52" s="87"/>
      <c r="AW52" s="86"/>
      <c r="AX52" s="87"/>
      <c r="AY52" s="86"/>
    </row>
    <row r="53" spans="1:51" ht="11.25">
      <c r="A53" s="138">
        <v>62</v>
      </c>
      <c r="B53" s="139">
        <v>180</v>
      </c>
      <c r="C53" s="140">
        <v>180</v>
      </c>
      <c r="D53" s="141">
        <f>Tabel_basisrecht!D53+Tabel_overgangsrecht!D53</f>
        <v>0</v>
      </c>
      <c r="E53" s="140"/>
      <c r="F53" s="141"/>
      <c r="G53" s="140"/>
      <c r="H53" s="141"/>
      <c r="I53" s="140"/>
      <c r="J53" s="141"/>
      <c r="K53" s="140"/>
      <c r="L53" s="141"/>
      <c r="M53" s="140"/>
      <c r="N53" s="141"/>
      <c r="O53" s="140"/>
      <c r="P53" s="141"/>
      <c r="Q53" s="140"/>
      <c r="R53" s="141"/>
      <c r="S53" s="140"/>
      <c r="T53" s="141"/>
      <c r="U53" s="140"/>
      <c r="V53" s="211"/>
      <c r="W53" s="200"/>
      <c r="X53" s="87"/>
      <c r="Y53" s="86"/>
      <c r="Z53" s="87"/>
      <c r="AA53" s="86"/>
      <c r="AB53" s="87"/>
      <c r="AC53" s="86"/>
      <c r="AD53" s="87"/>
      <c r="AE53" s="86"/>
      <c r="AF53" s="87"/>
      <c r="AG53" s="86"/>
      <c r="AH53" s="87"/>
      <c r="AI53" s="86"/>
      <c r="AJ53" s="87"/>
      <c r="AK53" s="86"/>
      <c r="AL53" s="87"/>
      <c r="AM53" s="86"/>
      <c r="AN53" s="87"/>
      <c r="AO53" s="86"/>
      <c r="AP53" s="87"/>
      <c r="AQ53" s="86"/>
      <c r="AR53" s="87"/>
      <c r="AS53" s="86"/>
      <c r="AT53" s="87"/>
      <c r="AU53" s="86"/>
      <c r="AV53" s="87"/>
      <c r="AW53" s="86"/>
      <c r="AX53" s="87"/>
      <c r="AY53" s="86"/>
    </row>
    <row r="54" spans="1:51" ht="11.25">
      <c r="A54" s="138">
        <v>63</v>
      </c>
      <c r="B54" s="139">
        <v>180</v>
      </c>
      <c r="C54" s="140">
        <f>Tabel_basisrecht!C54+Tabel_overgangsrecht!C54</f>
        <v>0</v>
      </c>
      <c r="D54" s="141"/>
      <c r="E54" s="140"/>
      <c r="F54" s="141"/>
      <c r="G54" s="140"/>
      <c r="H54" s="141"/>
      <c r="I54" s="140"/>
      <c r="J54" s="141"/>
      <c r="K54" s="140"/>
      <c r="L54" s="141"/>
      <c r="M54" s="140"/>
      <c r="N54" s="141"/>
      <c r="O54" s="140"/>
      <c r="P54" s="141"/>
      <c r="Q54" s="140"/>
      <c r="R54" s="141"/>
      <c r="S54" s="140"/>
      <c r="T54" s="141"/>
      <c r="U54" s="140"/>
      <c r="V54" s="211"/>
      <c r="W54" s="200"/>
      <c r="X54" s="87"/>
      <c r="Y54" s="86"/>
      <c r="Z54" s="87"/>
      <c r="AA54" s="86"/>
      <c r="AB54" s="87"/>
      <c r="AC54" s="86"/>
      <c r="AD54" s="87"/>
      <c r="AE54" s="86"/>
      <c r="AF54" s="87"/>
      <c r="AG54" s="86"/>
      <c r="AH54" s="87"/>
      <c r="AI54" s="86"/>
      <c r="AJ54" s="87"/>
      <c r="AK54" s="86"/>
      <c r="AL54" s="87"/>
      <c r="AM54" s="86"/>
      <c r="AN54" s="87"/>
      <c r="AO54" s="86"/>
      <c r="AP54" s="87"/>
      <c r="AQ54" s="86"/>
      <c r="AR54" s="87"/>
      <c r="AS54" s="86"/>
      <c r="AT54" s="87"/>
      <c r="AU54" s="86"/>
      <c r="AV54" s="87"/>
      <c r="AW54" s="86"/>
      <c r="AX54" s="87"/>
      <c r="AY54" s="86"/>
    </row>
    <row r="55" spans="1:51" ht="11.25">
      <c r="A55" s="142">
        <v>64</v>
      </c>
      <c r="B55" s="143">
        <f>Tabel_basisrecht!B55+Tabel_overgangsrecht!B55</f>
        <v>0</v>
      </c>
      <c r="C55" s="144"/>
      <c r="D55" s="145"/>
      <c r="E55" s="144"/>
      <c r="F55" s="145"/>
      <c r="G55" s="144"/>
      <c r="H55" s="145"/>
      <c r="I55" s="144"/>
      <c r="J55" s="145"/>
      <c r="K55" s="144"/>
      <c r="L55" s="145"/>
      <c r="M55" s="144"/>
      <c r="N55" s="145"/>
      <c r="O55" s="144"/>
      <c r="P55" s="145"/>
      <c r="Q55" s="144"/>
      <c r="R55" s="145"/>
      <c r="S55" s="144"/>
      <c r="T55" s="145"/>
      <c r="U55" s="144"/>
      <c r="V55" s="212"/>
      <c r="W55" s="201"/>
      <c r="X55" s="91"/>
      <c r="Y55" s="90"/>
      <c r="Z55" s="91"/>
      <c r="AA55" s="90"/>
      <c r="AB55" s="91"/>
      <c r="AC55" s="90"/>
      <c r="AD55" s="91"/>
      <c r="AE55" s="90"/>
      <c r="AF55" s="91"/>
      <c r="AG55" s="90"/>
      <c r="AH55" s="91"/>
      <c r="AI55" s="90"/>
      <c r="AJ55" s="91"/>
      <c r="AK55" s="90"/>
      <c r="AL55" s="91"/>
      <c r="AM55" s="90"/>
      <c r="AN55" s="91"/>
      <c r="AO55" s="90"/>
      <c r="AP55" s="91"/>
      <c r="AQ55" s="90"/>
      <c r="AR55" s="91"/>
      <c r="AS55" s="90"/>
      <c r="AT55" s="91"/>
      <c r="AU55" s="90"/>
      <c r="AV55" s="91"/>
      <c r="AW55" s="90"/>
      <c r="AX55" s="91"/>
      <c r="AY55" s="90"/>
    </row>
    <row r="56" spans="24:50" ht="11.25">
      <c r="X56" s="92"/>
      <c r="Z56" s="92"/>
      <c r="AB56" s="92"/>
      <c r="AD56" s="92"/>
      <c r="AF56" s="92"/>
      <c r="AH56" s="92"/>
      <c r="AJ56" s="92"/>
      <c r="AL56" s="92"/>
      <c r="AN56" s="92"/>
      <c r="AP56" s="92"/>
      <c r="AR56" s="92"/>
      <c r="AT56" s="92"/>
      <c r="AV56" s="92"/>
      <c r="AX56" s="92"/>
    </row>
  </sheetData>
  <sheetProtection password="DCBC" sheet="1"/>
  <printOptions horizontalCentered="1" verticalCentered="1"/>
  <pageMargins left="0.3937007874015748" right="0.3937007874015748" top="0.5905511811023623" bottom="0.5905511811023623" header="0.5118110236220472" footer="0.5118110236220472"/>
  <pageSetup fitToHeight="2" horizontalDpi="600" verticalDpi="600" orientation="landscape" paperSize="9" scale="70" r:id="rId1"/>
  <headerFooter alignWithMargins="0">
    <oddHeader>&amp;L&amp;F</oddHeader>
    <oddFooter>&amp;LPGGM HR Advies&amp;C13 januari 2009&amp;Rpagina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 Verbaas</dc:creator>
  <cp:keywords/>
  <dc:description/>
  <cp:lastModifiedBy>tromkema</cp:lastModifiedBy>
  <cp:lastPrinted>2009-10-21T11:31:55Z</cp:lastPrinted>
  <dcterms:created xsi:type="dcterms:W3CDTF">2009-08-13T05:25:26Z</dcterms:created>
  <dcterms:modified xsi:type="dcterms:W3CDTF">2010-01-13T09:43:32Z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